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threadedComments/threadedComment1.xml" ContentType="application/vnd.ms-excel.threaded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https://secretariadistritald-my.sharepoint.com/personal/aforero_sdmujer_gov_co/Documents/SDM/SDM 2022/01 PROYECTOS DE INVERSIÓN/7671/PLAN DE ACCIÓN/"/>
    </mc:Choice>
  </mc:AlternateContent>
  <xr:revisionPtr revIDLastSave="31" documentId="8_{D500EF9E-1452-4652-B700-3F17FD5ADBF1}" xr6:coauthVersionLast="47" xr6:coauthVersionMax="47" xr10:uidLastSave="{A4171BB5-C54F-4249-B6A1-FF4989F75235}"/>
  <bookViews>
    <workbookView xWindow="-120" yWindow="-120" windowWidth="20730" windowHeight="11160" tabRatio="867" activeTab="7" xr2:uid="{00000000-000D-0000-FFFF-FFFF00000000}"/>
  </bookViews>
  <sheets>
    <sheet name="Meta 1 DED. SCPI" sheetId="40" r:id="rId1"/>
    <sheet name="Meta 2 DED" sheetId="42" r:id="rId2"/>
    <sheet name="Meta 3 DED" sheetId="43" r:id="rId3"/>
    <sheet name="Meta 4 DED" sheetId="44" r:id="rId4"/>
    <sheet name="Meta 5 SCPI" sheetId="45" r:id="rId5"/>
    <sheet name="Meta 6 SCPI" sheetId="46" r:id="rId6"/>
    <sheet name="Meta 7 DED" sheetId="48" r:id="rId7"/>
    <sheet name="Indicadores PA" sheetId="36" r:id="rId8"/>
    <sheet name="Meta 1..n" sheetId="1" state="hidden" r:id="rId9"/>
    <sheet name="Territorialización PA" sheetId="37" r:id="rId10"/>
    <sheet name="Instructivo" sheetId="39" r:id="rId11"/>
    <sheet name="Generalidades" sheetId="38" r:id="rId12"/>
    <sheet name="Hoja2" sheetId="47" r:id="rId13"/>
    <sheet name="Hoja13" sheetId="32" state="hidden" r:id="rId14"/>
    <sheet name="Hoja1" sheetId="20" state="hidden" r:id="rId15"/>
  </sheets>
  <definedNames>
    <definedName name="_xlnm._FilterDatabase" localSheetId="7" hidden="1">'Indicadores PA'!$A$12:$AX$12</definedName>
    <definedName name="_xlnm.Print_Area" localSheetId="0">'Meta 1 DED. SCPI'!$A$1:$AD$51</definedName>
    <definedName name="_xlnm.Print_Area" localSheetId="1">'Meta 2 DED'!$A$1:$AD$57</definedName>
    <definedName name="_xlnm.Print_Area" localSheetId="3">'Meta 4 DED'!$A$1:$AD$45</definedName>
    <definedName name="_xlnm.Print_Area" localSheetId="4">'Meta 5 SCPI'!$A$1:$AD$43</definedName>
    <definedName name="_xlnm.Print_Area" localSheetId="5">'Meta 6 SCPI'!$A$1:$AD$51</definedName>
    <definedName name="_xlnm.Print_Area" localSheetId="6">'Meta 7 DED'!$A$1:$AD$43</definedName>
    <definedName name="_xlnm.Print_Area" localSheetId="9">'Territorialización PA'!$A$1:$BQ$89</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B23" i="43" l="1"/>
  <c r="L16" i="36"/>
  <c r="R16" i="36"/>
  <c r="L15" i="36"/>
  <c r="R15" i="36"/>
  <c r="L14" i="36"/>
  <c r="R14" i="36"/>
  <c r="Q16" i="36"/>
  <c r="Q15" i="36"/>
  <c r="Q14" i="36"/>
  <c r="AB24" i="48" l="1"/>
  <c r="AB22" i="48"/>
  <c r="AB24" i="46"/>
  <c r="AB22" i="46"/>
  <c r="AB24" i="45"/>
  <c r="AB22" i="45"/>
  <c r="N24" i="44"/>
  <c r="AB24" i="44"/>
  <c r="AB22" i="44"/>
  <c r="AB25" i="43"/>
  <c r="AB24" i="43"/>
  <c r="AB22" i="43"/>
  <c r="AB24" i="42"/>
  <c r="AB22" i="42"/>
  <c r="AC22" i="42" s="1"/>
  <c r="AB23" i="42"/>
  <c r="AB24" i="40"/>
  <c r="AB22" i="40"/>
  <c r="BQ89" i="37" l="1"/>
  <c r="BP89" i="37"/>
  <c r="BO89" i="37"/>
  <c r="BN89" i="37"/>
  <c r="BM89" i="37"/>
  <c r="BL89" i="37"/>
  <c r="BH89" i="37"/>
  <c r="BG89" i="37"/>
  <c r="BF89" i="37"/>
  <c r="BE89" i="37"/>
  <c r="BD89" i="37"/>
  <c r="BC89" i="37"/>
  <c r="BB89" i="37"/>
  <c r="BA89" i="37"/>
  <c r="AZ89" i="37"/>
  <c r="AY89" i="37"/>
  <c r="AX89" i="37"/>
  <c r="AW89" i="37"/>
  <c r="AV89" i="37"/>
  <c r="AU89" i="37"/>
  <c r="AT89" i="37"/>
  <c r="AS89" i="37"/>
  <c r="AR89" i="37"/>
  <c r="AQ89" i="37"/>
  <c r="AP89" i="37"/>
  <c r="AO89" i="37"/>
  <c r="AN89" i="37"/>
  <c r="AM89" i="37"/>
  <c r="AL89" i="37"/>
  <c r="AK89" i="37"/>
  <c r="AH89" i="37"/>
  <c r="AG89" i="37"/>
  <c r="AF89" i="37"/>
  <c r="AE89" i="37"/>
  <c r="AD89" i="37"/>
  <c r="AC89" i="37"/>
  <c r="Y89" i="37"/>
  <c r="X89" i="37"/>
  <c r="W89" i="37"/>
  <c r="V89" i="37"/>
  <c r="U89" i="37"/>
  <c r="T89" i="37"/>
  <c r="S89" i="37"/>
  <c r="R89" i="37"/>
  <c r="Q89" i="37"/>
  <c r="P89" i="37"/>
  <c r="O89" i="37"/>
  <c r="N89" i="37"/>
  <c r="M89" i="37"/>
  <c r="L89" i="37"/>
  <c r="K89" i="37"/>
  <c r="J89" i="37"/>
  <c r="I89" i="37"/>
  <c r="H89" i="37"/>
  <c r="G89" i="37"/>
  <c r="F89" i="37"/>
  <c r="E89" i="37"/>
  <c r="D89" i="37"/>
  <c r="C89" i="37"/>
  <c r="B89" i="37"/>
  <c r="BJ88" i="37"/>
  <c r="BI88" i="37"/>
  <c r="AA88" i="37"/>
  <c r="Z88" i="37"/>
  <c r="BJ87" i="37"/>
  <c r="BI87" i="37"/>
  <c r="AA87" i="37"/>
  <c r="Z87" i="37"/>
  <c r="BJ86" i="37"/>
  <c r="BI86" i="37"/>
  <c r="AA86" i="37"/>
  <c r="Z86" i="37"/>
  <c r="BJ85" i="37"/>
  <c r="BI85" i="37"/>
  <c r="AA85" i="37"/>
  <c r="Z85" i="37"/>
  <c r="BJ84" i="37"/>
  <c r="BI84" i="37"/>
  <c r="AA84" i="37"/>
  <c r="Z84" i="37"/>
  <c r="BJ83" i="37"/>
  <c r="BI83" i="37"/>
  <c r="AA83" i="37"/>
  <c r="Z83" i="37"/>
  <c r="BJ82" i="37"/>
  <c r="BI82" i="37"/>
  <c r="AA82" i="37"/>
  <c r="Z82" i="37"/>
  <c r="BJ81" i="37"/>
  <c r="BI81" i="37"/>
  <c r="AA81" i="37"/>
  <c r="Z81" i="37"/>
  <c r="BJ80" i="37"/>
  <c r="BI80" i="37"/>
  <c r="AA80" i="37"/>
  <c r="Z80" i="37"/>
  <c r="BJ79" i="37"/>
  <c r="BI79" i="37"/>
  <c r="AA79" i="37"/>
  <c r="Z79" i="37"/>
  <c r="BJ78" i="37"/>
  <c r="BI78" i="37"/>
  <c r="AA78" i="37"/>
  <c r="Z78" i="37"/>
  <c r="BJ77" i="37"/>
  <c r="BI77" i="37"/>
  <c r="AA77" i="37"/>
  <c r="Z77" i="37"/>
  <c r="BJ76" i="37"/>
  <c r="BI76" i="37"/>
  <c r="AA76" i="37"/>
  <c r="Z76" i="37"/>
  <c r="BJ75" i="37"/>
  <c r="BI75" i="37"/>
  <c r="AA75" i="37"/>
  <c r="Z75" i="37"/>
  <c r="BJ74" i="37"/>
  <c r="BI74" i="37"/>
  <c r="AA74" i="37"/>
  <c r="Z74" i="37"/>
  <c r="BJ73" i="37"/>
  <c r="BI73" i="37"/>
  <c r="AA73" i="37"/>
  <c r="Z73" i="37"/>
  <c r="BJ72" i="37"/>
  <c r="BI72" i="37"/>
  <c r="AA72" i="37"/>
  <c r="Z72" i="37"/>
  <c r="BJ71" i="37"/>
  <c r="BI71" i="37"/>
  <c r="AA71" i="37"/>
  <c r="Z71" i="37"/>
  <c r="BJ70" i="37"/>
  <c r="BI70" i="37"/>
  <c r="AA70" i="37"/>
  <c r="Z70" i="37"/>
  <c r="BJ69" i="37"/>
  <c r="BJ89" i="37" s="1"/>
  <c r="BI69" i="37"/>
  <c r="BI89" i="37" s="1"/>
  <c r="AA69" i="37"/>
  <c r="AA89" i="37" s="1"/>
  <c r="Z69" i="37"/>
  <c r="Z89" i="37" s="1"/>
  <c r="BJ68" i="37"/>
  <c r="BI68" i="37"/>
  <c r="AA68" i="37"/>
  <c r="Z68" i="37"/>
  <c r="BQ61" i="37"/>
  <c r="BP61" i="37"/>
  <c r="BO61" i="37"/>
  <c r="BN61" i="37"/>
  <c r="BM61" i="37"/>
  <c r="BL61" i="37"/>
  <c r="BH61" i="37"/>
  <c r="AH61" i="37"/>
  <c r="AG61" i="37"/>
  <c r="AF61" i="37"/>
  <c r="AE61" i="37"/>
  <c r="AD61" i="37"/>
  <c r="AC61" i="37"/>
  <c r="Y61" i="37"/>
  <c r="X61" i="37"/>
  <c r="W61" i="37"/>
  <c r="V61" i="37"/>
  <c r="U61" i="37"/>
  <c r="T61" i="37"/>
  <c r="S61" i="37"/>
  <c r="R61" i="37"/>
  <c r="Q61" i="37"/>
  <c r="P61" i="37"/>
  <c r="O61" i="37"/>
  <c r="N61" i="37"/>
  <c r="M61" i="37"/>
  <c r="L61" i="37"/>
  <c r="K61" i="37"/>
  <c r="J61" i="37"/>
  <c r="I61" i="37"/>
  <c r="H61" i="37"/>
  <c r="G61" i="37"/>
  <c r="F61" i="37"/>
  <c r="E61" i="37"/>
  <c r="D61" i="37"/>
  <c r="C61" i="37"/>
  <c r="B61" i="37"/>
  <c r="BJ60" i="37"/>
  <c r="BI60" i="37"/>
  <c r="AA60" i="37"/>
  <c r="Z60" i="37"/>
  <c r="BJ59" i="37"/>
  <c r="BI59" i="37"/>
  <c r="AA59" i="37"/>
  <c r="Z59" i="37"/>
  <c r="BJ58" i="37"/>
  <c r="BI58" i="37"/>
  <c r="AA58" i="37"/>
  <c r="Z58" i="37"/>
  <c r="BJ57" i="37"/>
  <c r="BI57" i="37"/>
  <c r="AA57" i="37"/>
  <c r="Z57" i="37"/>
  <c r="BJ56" i="37"/>
  <c r="BI56" i="37"/>
  <c r="AA56" i="37"/>
  <c r="Z56" i="37"/>
  <c r="BJ55" i="37"/>
  <c r="BI55" i="37"/>
  <c r="AA55" i="37"/>
  <c r="Z55" i="37"/>
  <c r="Z61" i="37" s="1"/>
  <c r="BG54" i="37"/>
  <c r="BG61" i="37" s="1"/>
  <c r="BF54" i="37"/>
  <c r="BF61" i="37" s="1"/>
  <c r="BE54" i="37"/>
  <c r="BE61" i="37" s="1"/>
  <c r="BD54" i="37"/>
  <c r="BD61" i="37" s="1"/>
  <c r="BC54" i="37"/>
  <c r="BC61" i="37" s="1"/>
  <c r="BB54" i="37"/>
  <c r="BB61" i="37" s="1"/>
  <c r="BA54" i="37"/>
  <c r="BA61" i="37" s="1"/>
  <c r="AZ54" i="37"/>
  <c r="AZ61" i="37" s="1"/>
  <c r="AY54" i="37"/>
  <c r="AY61" i="37" s="1"/>
  <c r="AX54" i="37"/>
  <c r="AX61" i="37" s="1"/>
  <c r="AW54" i="37"/>
  <c r="AW61" i="37" s="1"/>
  <c r="AV54" i="37"/>
  <c r="AV61" i="37" s="1"/>
  <c r="AU54" i="37"/>
  <c r="AU61" i="37" s="1"/>
  <c r="AT54" i="37"/>
  <c r="AT61" i="37" s="1"/>
  <c r="AS54" i="37"/>
  <c r="AS61" i="37" s="1"/>
  <c r="AR54" i="37"/>
  <c r="AR61" i="37" s="1"/>
  <c r="AQ54" i="37"/>
  <c r="AQ61" i="37" s="1"/>
  <c r="AP54" i="37"/>
  <c r="AP61" i="37" s="1"/>
  <c r="AO54" i="37"/>
  <c r="AO61" i="37" s="1"/>
  <c r="AN54" i="37"/>
  <c r="AN61" i="37" s="1"/>
  <c r="AM54" i="37"/>
  <c r="AM61" i="37" s="1"/>
  <c r="AL54" i="37"/>
  <c r="BJ54" i="37" s="1"/>
  <c r="AK54" i="37"/>
  <c r="BI54" i="37" s="1"/>
  <c r="AA54" i="37"/>
  <c r="Z54" i="37"/>
  <c r="BJ53" i="37"/>
  <c r="BI53" i="37"/>
  <c r="AA53" i="37"/>
  <c r="Z53" i="37"/>
  <c r="BJ52" i="37"/>
  <c r="BI52" i="37"/>
  <c r="AA52" i="37"/>
  <c r="Z52" i="37"/>
  <c r="BJ51" i="37"/>
  <c r="BI51" i="37"/>
  <c r="AA51" i="37"/>
  <c r="Z51" i="37"/>
  <c r="BJ50" i="37"/>
  <c r="BI50" i="37"/>
  <c r="AA50" i="37"/>
  <c r="Z50" i="37"/>
  <c r="BJ49" i="37"/>
  <c r="BI49" i="37"/>
  <c r="AA49" i="37"/>
  <c r="Z49" i="37"/>
  <c r="BJ48" i="37"/>
  <c r="BI48" i="37"/>
  <c r="AA48" i="37"/>
  <c r="Z48" i="37"/>
  <c r="BJ47" i="37"/>
  <c r="BI47" i="37"/>
  <c r="AA47" i="37"/>
  <c r="Z47" i="37"/>
  <c r="BJ46" i="37"/>
  <c r="BI46" i="37"/>
  <c r="AA46" i="37"/>
  <c r="Z46" i="37"/>
  <c r="BJ45" i="37"/>
  <c r="BI45" i="37"/>
  <c r="AA45" i="37"/>
  <c r="Z45" i="37"/>
  <c r="BJ44" i="37"/>
  <c r="BI44" i="37"/>
  <c r="AA44" i="37"/>
  <c r="Z44" i="37"/>
  <c r="BJ43" i="37"/>
  <c r="BI43" i="37"/>
  <c r="AA43" i="37"/>
  <c r="Z43" i="37"/>
  <c r="BJ42" i="37"/>
  <c r="BI42" i="37"/>
  <c r="AA42" i="37"/>
  <c r="Z42" i="37"/>
  <c r="BJ41" i="37"/>
  <c r="BI41" i="37"/>
  <c r="AA41" i="37"/>
  <c r="Z41" i="37"/>
  <c r="BJ40" i="37"/>
  <c r="BI40" i="37"/>
  <c r="AA40" i="37"/>
  <c r="Z40" i="37"/>
  <c r="BM32" i="37"/>
  <c r="BH32" i="37"/>
  <c r="BF32" i="37"/>
  <c r="BD32" i="37"/>
  <c r="BB32" i="37"/>
  <c r="AZ32" i="37"/>
  <c r="AX32" i="37"/>
  <c r="AV32" i="37"/>
  <c r="AT32" i="37"/>
  <c r="AR32" i="37"/>
  <c r="AP32" i="37"/>
  <c r="AO32" i="37"/>
  <c r="AN32" i="37"/>
  <c r="AM32" i="37"/>
  <c r="AL32" i="37"/>
  <c r="AK32" i="37"/>
  <c r="AI32" i="37"/>
  <c r="AH32" i="37"/>
  <c r="AG32" i="37"/>
  <c r="AF32" i="37"/>
  <c r="AE32" i="37"/>
  <c r="AD32" i="37"/>
  <c r="AC32" i="37"/>
  <c r="Y32" i="37"/>
  <c r="X32" i="37"/>
  <c r="W32" i="37"/>
  <c r="V32" i="37"/>
  <c r="U32" i="37"/>
  <c r="T32" i="37"/>
  <c r="S32" i="37"/>
  <c r="R32" i="37"/>
  <c r="Q32" i="37"/>
  <c r="P32" i="37"/>
  <c r="O32" i="37"/>
  <c r="N32" i="37"/>
  <c r="M32" i="37"/>
  <c r="L32" i="37"/>
  <c r="K32" i="37"/>
  <c r="J32" i="37"/>
  <c r="I32" i="37"/>
  <c r="H32" i="37"/>
  <c r="G32" i="37"/>
  <c r="F32" i="37"/>
  <c r="E32" i="37"/>
  <c r="D32" i="37"/>
  <c r="C32" i="37"/>
  <c r="B32" i="37"/>
  <c r="BJ31" i="37"/>
  <c r="BI31" i="37"/>
  <c r="AA31" i="37"/>
  <c r="Z31" i="37"/>
  <c r="BJ30" i="37"/>
  <c r="BI30" i="37"/>
  <c r="AA30" i="37"/>
  <c r="Z30" i="37"/>
  <c r="BJ29" i="37"/>
  <c r="BI29" i="37"/>
  <c r="AA29" i="37"/>
  <c r="Z29" i="37"/>
  <c r="BJ28" i="37"/>
  <c r="BI28" i="37"/>
  <c r="AA28" i="37"/>
  <c r="Z28" i="37"/>
  <c r="BJ27" i="37"/>
  <c r="BI27" i="37"/>
  <c r="AA27" i="37"/>
  <c r="Z27" i="37"/>
  <c r="BJ26" i="37"/>
  <c r="BI26" i="37"/>
  <c r="AA26" i="37"/>
  <c r="Z26" i="37"/>
  <c r="BQ25" i="37"/>
  <c r="BQ32" i="37" s="1"/>
  <c r="BP25" i="37"/>
  <c r="BP32" i="37" s="1"/>
  <c r="BO25" i="37"/>
  <c r="BO32" i="37" s="1"/>
  <c r="BN25" i="37"/>
  <c r="BN32" i="37" s="1"/>
  <c r="BM25" i="37"/>
  <c r="BL25" i="37"/>
  <c r="BL32" i="37" s="1"/>
  <c r="BK25" i="37"/>
  <c r="BJ25" i="37"/>
  <c r="BG25" i="37"/>
  <c r="BG32" i="37" s="1"/>
  <c r="BE25" i="37"/>
  <c r="BE32" i="37" s="1"/>
  <c r="BC25" i="37"/>
  <c r="BC32" i="37" s="1"/>
  <c r="BA25" i="37"/>
  <c r="BA32" i="37" s="1"/>
  <c r="AY25" i="37"/>
  <c r="AY32" i="37" s="1"/>
  <c r="AW25" i="37"/>
  <c r="AW32" i="37" s="1"/>
  <c r="AU25" i="37"/>
  <c r="AU32" i="37" s="1"/>
  <c r="AS25" i="37"/>
  <c r="AS32" i="37" s="1"/>
  <c r="AQ25" i="37"/>
  <c r="AQ32" i="37" s="1"/>
  <c r="AA25" i="37"/>
  <c r="Z25" i="37"/>
  <c r="BJ24" i="37"/>
  <c r="BI24" i="37"/>
  <c r="AA24" i="37"/>
  <c r="Z24" i="37"/>
  <c r="BJ23" i="37"/>
  <c r="BI23" i="37"/>
  <c r="AA23" i="37"/>
  <c r="Z23" i="37"/>
  <c r="BJ22" i="37"/>
  <c r="BI22" i="37"/>
  <c r="AA22" i="37"/>
  <c r="Z22" i="37"/>
  <c r="BJ21" i="37"/>
  <c r="BI21" i="37"/>
  <c r="AA21" i="37"/>
  <c r="Z21" i="37"/>
  <c r="BJ20" i="37"/>
  <c r="BI20" i="37"/>
  <c r="AA20" i="37"/>
  <c r="Z20" i="37"/>
  <c r="BJ19" i="37"/>
  <c r="BI19" i="37"/>
  <c r="AA19" i="37"/>
  <c r="Z19" i="37"/>
  <c r="BJ18" i="37"/>
  <c r="BI18" i="37"/>
  <c r="AA18" i="37"/>
  <c r="Z18" i="37"/>
  <c r="BJ17" i="37"/>
  <c r="BI17" i="37"/>
  <c r="AA17" i="37"/>
  <c r="Z17" i="37"/>
  <c r="BJ16" i="37"/>
  <c r="BI16" i="37"/>
  <c r="AA16" i="37"/>
  <c r="Z16" i="37"/>
  <c r="BJ15" i="37"/>
  <c r="BI15" i="37"/>
  <c r="AA15" i="37"/>
  <c r="Z15" i="37"/>
  <c r="BJ14" i="37"/>
  <c r="BI14" i="37"/>
  <c r="AA14" i="37"/>
  <c r="Z14" i="37"/>
  <c r="BJ13" i="37"/>
  <c r="BI13" i="37"/>
  <c r="AA13" i="37"/>
  <c r="Z13" i="37"/>
  <c r="BJ12" i="37"/>
  <c r="BI12" i="37"/>
  <c r="AA12" i="37"/>
  <c r="AA32" i="37" s="1"/>
  <c r="Z12" i="37"/>
  <c r="Z32" i="37" s="1"/>
  <c r="BJ11" i="37"/>
  <c r="BI11" i="37"/>
  <c r="AA11" i="37"/>
  <c r="Z11" i="37"/>
  <c r="N41" i="48"/>
  <c r="N51" i="42"/>
  <c r="N55" i="42"/>
  <c r="AK61" i="37" l="1"/>
  <c r="BJ32" i="37"/>
  <c r="BI61" i="37"/>
  <c r="BJ61" i="37"/>
  <c r="AA61" i="37"/>
  <c r="AL61" i="37"/>
  <c r="BI25" i="37"/>
  <c r="BI32" i="37" s="1"/>
  <c r="P51" i="42"/>
  <c r="P51" i="46"/>
  <c r="P50" i="46"/>
  <c r="P49" i="46"/>
  <c r="P48" i="46"/>
  <c r="P47" i="46"/>
  <c r="P46" i="46"/>
  <c r="P45" i="46"/>
  <c r="P44" i="46"/>
  <c r="P43" i="46"/>
  <c r="P42" i="46"/>
  <c r="P41" i="46"/>
  <c r="P40" i="46"/>
  <c r="P39" i="46"/>
  <c r="P38" i="46"/>
  <c r="P43" i="45"/>
  <c r="P42" i="45"/>
  <c r="P41" i="45"/>
  <c r="P40" i="45"/>
  <c r="P39" i="45"/>
  <c r="P38" i="45"/>
  <c r="P51" i="40"/>
  <c r="P50" i="40"/>
  <c r="P49" i="40"/>
  <c r="P48" i="40"/>
  <c r="P47" i="40"/>
  <c r="P46" i="40"/>
  <c r="P45" i="40"/>
  <c r="P44" i="40"/>
  <c r="U25" i="48" l="1"/>
  <c r="S23" i="48"/>
  <c r="T22" i="48"/>
  <c r="AC22" i="48" s="1"/>
  <c r="S25" i="46"/>
  <c r="R23" i="46"/>
  <c r="S23" i="46" s="1"/>
  <c r="S25" i="45"/>
  <c r="R23" i="45"/>
  <c r="S23" i="45" s="1"/>
  <c r="T22" i="45"/>
  <c r="U25" i="44"/>
  <c r="S23" i="44"/>
  <c r="T23" i="44"/>
  <c r="R25" i="43"/>
  <c r="U25" i="43" s="1"/>
  <c r="R23" i="43"/>
  <c r="Q22" i="43"/>
  <c r="AC22" i="43" s="1"/>
  <c r="R22" i="43"/>
  <c r="S22" i="43"/>
  <c r="T22" i="43"/>
  <c r="U22" i="43"/>
  <c r="Z22" i="43"/>
  <c r="U25" i="42"/>
  <c r="S23" i="42"/>
  <c r="U25" i="40"/>
  <c r="S23" i="40"/>
  <c r="P38" i="42"/>
  <c r="N64" i="42" s="1"/>
  <c r="P40" i="42"/>
  <c r="F66" i="42" s="1"/>
  <c r="P42" i="42"/>
  <c r="N68" i="42" s="1"/>
  <c r="N70" i="42"/>
  <c r="N72" i="42"/>
  <c r="P48" i="42"/>
  <c r="N74" i="42" s="1"/>
  <c r="P50" i="42"/>
  <c r="E76" i="42" s="1"/>
  <c r="P52" i="42"/>
  <c r="N78" i="42" s="1"/>
  <c r="P54" i="42"/>
  <c r="G80" i="42" s="1"/>
  <c r="P56" i="42"/>
  <c r="G82" i="42" s="1"/>
  <c r="N82" i="42"/>
  <c r="B34" i="42"/>
  <c r="O64" i="42"/>
  <c r="O70" i="42"/>
  <c r="O72" i="42"/>
  <c r="O74" i="42"/>
  <c r="O82" i="42"/>
  <c r="D64" i="42"/>
  <c r="D68" i="42"/>
  <c r="D70" i="42"/>
  <c r="D72" i="42"/>
  <c r="D82" i="42"/>
  <c r="E64" i="42"/>
  <c r="E70" i="42"/>
  <c r="E72" i="42"/>
  <c r="P72" i="42" s="1"/>
  <c r="E74" i="42"/>
  <c r="F64" i="42"/>
  <c r="F70" i="42"/>
  <c r="F72" i="42"/>
  <c r="G64" i="42"/>
  <c r="G68" i="42"/>
  <c r="G70" i="42"/>
  <c r="G72" i="42"/>
  <c r="G74" i="42"/>
  <c r="H64" i="42"/>
  <c r="H70" i="42"/>
  <c r="H72" i="42"/>
  <c r="H74" i="42"/>
  <c r="H82" i="42"/>
  <c r="I64" i="42"/>
  <c r="I68" i="42"/>
  <c r="I70" i="42"/>
  <c r="I72" i="42"/>
  <c r="I74" i="42"/>
  <c r="I76" i="42"/>
  <c r="I82" i="42"/>
  <c r="J64" i="42"/>
  <c r="J68" i="42"/>
  <c r="J70" i="42"/>
  <c r="J72" i="42"/>
  <c r="J74" i="42"/>
  <c r="J82" i="42"/>
  <c r="K64" i="42"/>
  <c r="K68" i="42"/>
  <c r="K70" i="42"/>
  <c r="K72" i="42"/>
  <c r="K82" i="42"/>
  <c r="L64" i="42"/>
  <c r="L70" i="42"/>
  <c r="L72" i="42"/>
  <c r="L74" i="42"/>
  <c r="M64" i="42"/>
  <c r="M70" i="42"/>
  <c r="M72" i="42"/>
  <c r="M76" i="42"/>
  <c r="H25" i="43"/>
  <c r="AT13" i="36"/>
  <c r="AY13" i="36" s="1"/>
  <c r="P38" i="48"/>
  <c r="M58" i="48" s="1"/>
  <c r="D25" i="40"/>
  <c r="G24" i="40"/>
  <c r="D24" i="40"/>
  <c r="O25" i="46"/>
  <c r="G24" i="46"/>
  <c r="O24" i="46" s="1"/>
  <c r="D24" i="42"/>
  <c r="E24" i="42"/>
  <c r="F24" i="42"/>
  <c r="G24" i="42"/>
  <c r="D25" i="42"/>
  <c r="G25" i="42" s="1"/>
  <c r="G24" i="48"/>
  <c r="AT18" i="36"/>
  <c r="AU17" i="36"/>
  <c r="E66" i="40"/>
  <c r="L66" i="40"/>
  <c r="P38" i="40"/>
  <c r="L58" i="40"/>
  <c r="P40" i="40"/>
  <c r="D60" i="40" s="1"/>
  <c r="P42" i="40"/>
  <c r="D64" i="40"/>
  <c r="D66" i="40"/>
  <c r="D70" i="40"/>
  <c r="B34" i="40"/>
  <c r="E64" i="40"/>
  <c r="E70" i="40"/>
  <c r="F64" i="40"/>
  <c r="F70" i="40"/>
  <c r="G64" i="40"/>
  <c r="G66" i="40"/>
  <c r="G70" i="40"/>
  <c r="J64" i="40"/>
  <c r="J70" i="40"/>
  <c r="K58" i="40"/>
  <c r="K64" i="40"/>
  <c r="K66" i="40"/>
  <c r="K70" i="40"/>
  <c r="L64" i="40"/>
  <c r="L70" i="40"/>
  <c r="M64" i="40"/>
  <c r="M70" i="40"/>
  <c r="N64" i="40"/>
  <c r="N66" i="40"/>
  <c r="N70" i="40"/>
  <c r="O64" i="40"/>
  <c r="O66" i="40"/>
  <c r="O70" i="40"/>
  <c r="P47" i="42"/>
  <c r="P45" i="42"/>
  <c r="AL19" i="36"/>
  <c r="AT19" i="36" s="1"/>
  <c r="AT17" i="36"/>
  <c r="AU15" i="36"/>
  <c r="P40" i="48"/>
  <c r="E59" i="48" s="1"/>
  <c r="F59" i="48"/>
  <c r="J59" i="48"/>
  <c r="K59" i="48"/>
  <c r="N59" i="48"/>
  <c r="P42" i="48"/>
  <c r="M62" i="48"/>
  <c r="B34" i="48"/>
  <c r="B61" i="48"/>
  <c r="A61" i="48"/>
  <c r="B59" i="48"/>
  <c r="A59" i="48"/>
  <c r="B57" i="48"/>
  <c r="A57" i="48"/>
  <c r="P43" i="48"/>
  <c r="P41" i="48"/>
  <c r="P39" i="48"/>
  <c r="P30" i="48"/>
  <c r="D25" i="48"/>
  <c r="G25" i="48" s="1"/>
  <c r="D24" i="48"/>
  <c r="F24" i="48"/>
  <c r="AC24" i="48"/>
  <c r="O22" i="48"/>
  <c r="G24" i="45"/>
  <c r="G24" i="44"/>
  <c r="G25" i="45"/>
  <c r="O25" i="45" s="1"/>
  <c r="B63" i="43"/>
  <c r="A63" i="43"/>
  <c r="B61" i="43"/>
  <c r="A61" i="43"/>
  <c r="B59" i="43"/>
  <c r="A59" i="43"/>
  <c r="B57" i="43"/>
  <c r="A57" i="43"/>
  <c r="P45" i="43"/>
  <c r="P44" i="43"/>
  <c r="N64" i="43" s="1"/>
  <c r="P43" i="43"/>
  <c r="P42" i="43"/>
  <c r="M62" i="43"/>
  <c r="F62" i="43"/>
  <c r="P38" i="43"/>
  <c r="M58" i="43" s="1"/>
  <c r="F58" i="43"/>
  <c r="P40" i="43"/>
  <c r="M60" i="43" s="1"/>
  <c r="P41" i="43"/>
  <c r="P39" i="43"/>
  <c r="D58" i="43"/>
  <c r="B34" i="43"/>
  <c r="P30" i="43"/>
  <c r="D25" i="43"/>
  <c r="G25" i="43" s="1"/>
  <c r="D24" i="43"/>
  <c r="E24" i="43"/>
  <c r="F24" i="43"/>
  <c r="AC24" i="43"/>
  <c r="O22" i="43"/>
  <c r="J57" i="43"/>
  <c r="H57" i="43"/>
  <c r="B63" i="44"/>
  <c r="A63" i="44"/>
  <c r="B61" i="44"/>
  <c r="A61" i="44"/>
  <c r="B59" i="44"/>
  <c r="A59" i="44"/>
  <c r="B57" i="44"/>
  <c r="A57" i="44"/>
  <c r="P45" i="44"/>
  <c r="P44" i="44"/>
  <c r="M63" i="44" s="1"/>
  <c r="P43" i="44"/>
  <c r="P42" i="44"/>
  <c r="K62" i="44" s="1"/>
  <c r="P41" i="44"/>
  <c r="P40" i="44"/>
  <c r="M60" i="44" s="1"/>
  <c r="P39" i="44"/>
  <c r="P38" i="44"/>
  <c r="B34" i="44"/>
  <c r="P30" i="44"/>
  <c r="D25" i="44"/>
  <c r="G25" i="44" s="1"/>
  <c r="P25" i="44" s="1"/>
  <c r="D24" i="44"/>
  <c r="O24" i="44" s="1"/>
  <c r="A4" i="47" s="1"/>
  <c r="C4" i="47" s="1"/>
  <c r="AC24" i="44"/>
  <c r="AC22" i="44"/>
  <c r="O22" i="44"/>
  <c r="L58" i="45"/>
  <c r="L60" i="45"/>
  <c r="AC24" i="42"/>
  <c r="O22" i="40"/>
  <c r="AU19" i="36"/>
  <c r="AU18" i="36"/>
  <c r="AU16" i="36"/>
  <c r="B69" i="46"/>
  <c r="A69" i="46"/>
  <c r="B67" i="46"/>
  <c r="A67" i="46"/>
  <c r="B65" i="46"/>
  <c r="A65" i="46"/>
  <c r="B63" i="46"/>
  <c r="A63" i="46"/>
  <c r="B61" i="46"/>
  <c r="A61" i="46"/>
  <c r="B59" i="46"/>
  <c r="A59" i="46"/>
  <c r="B57" i="46"/>
  <c r="A57" i="46"/>
  <c r="B34" i="46"/>
  <c r="B61" i="45"/>
  <c r="A61" i="45"/>
  <c r="B59" i="45"/>
  <c r="A59" i="45"/>
  <c r="B57" i="45"/>
  <c r="A57" i="45"/>
  <c r="B34" i="45"/>
  <c r="B81" i="42"/>
  <c r="A81" i="42"/>
  <c r="B79" i="42"/>
  <c r="A79" i="42"/>
  <c r="B77" i="42"/>
  <c r="A77" i="42"/>
  <c r="B75" i="42"/>
  <c r="A75" i="42"/>
  <c r="B73" i="42"/>
  <c r="A73" i="42"/>
  <c r="O71" i="42"/>
  <c r="N71" i="42"/>
  <c r="M71" i="42"/>
  <c r="L71" i="42"/>
  <c r="K71" i="42"/>
  <c r="J71" i="42"/>
  <c r="I71" i="42"/>
  <c r="H71" i="42"/>
  <c r="G71" i="42"/>
  <c r="F71" i="42"/>
  <c r="E71" i="42"/>
  <c r="D71" i="42"/>
  <c r="P71" i="42" s="1"/>
  <c r="B71" i="42"/>
  <c r="A71" i="42"/>
  <c r="O69" i="42"/>
  <c r="N69" i="42"/>
  <c r="M69" i="42"/>
  <c r="L69" i="42"/>
  <c r="K69" i="42"/>
  <c r="J69" i="42"/>
  <c r="I69" i="42"/>
  <c r="H69" i="42"/>
  <c r="G69" i="42"/>
  <c r="F69" i="42"/>
  <c r="E69" i="42"/>
  <c r="D69" i="42"/>
  <c r="B69" i="42"/>
  <c r="A69" i="42"/>
  <c r="B67" i="42"/>
  <c r="A67" i="42"/>
  <c r="B65" i="42"/>
  <c r="A65" i="42"/>
  <c r="B63" i="42"/>
  <c r="A63" i="42"/>
  <c r="P39" i="40"/>
  <c r="B69" i="40"/>
  <c r="A69" i="40"/>
  <c r="B67" i="40"/>
  <c r="A67" i="40"/>
  <c r="B65" i="40"/>
  <c r="A65" i="40"/>
  <c r="B63" i="40"/>
  <c r="A63" i="40"/>
  <c r="B61" i="40"/>
  <c r="A61" i="40"/>
  <c r="B59" i="40"/>
  <c r="A59" i="40"/>
  <c r="B57" i="40"/>
  <c r="A57" i="40"/>
  <c r="J2" i="47"/>
  <c r="J3" i="47"/>
  <c r="J4" i="47"/>
  <c r="J5" i="47"/>
  <c r="J6" i="47"/>
  <c r="J7" i="47"/>
  <c r="J1" i="47"/>
  <c r="F8" i="47"/>
  <c r="G2" i="47" s="1"/>
  <c r="AC22" i="40"/>
  <c r="F24" i="45"/>
  <c r="C22" i="45"/>
  <c r="O22" i="45" s="1"/>
  <c r="I62" i="45"/>
  <c r="O61" i="45"/>
  <c r="O59" i="45"/>
  <c r="J61" i="45"/>
  <c r="J57" i="45"/>
  <c r="J59" i="45"/>
  <c r="G60" i="45"/>
  <c r="XEN49" i="40"/>
  <c r="XDH49" i="40"/>
  <c r="XCB49" i="40"/>
  <c r="XAV49" i="40"/>
  <c r="WZP49" i="40"/>
  <c r="WYJ49" i="40"/>
  <c r="WXD49" i="40"/>
  <c r="WVX49" i="40"/>
  <c r="WUR49" i="40"/>
  <c r="WTL49" i="40"/>
  <c r="WSF49" i="40"/>
  <c r="WQZ49" i="40"/>
  <c r="WPT49" i="40"/>
  <c r="WON49" i="40"/>
  <c r="WNH49" i="40"/>
  <c r="WMB49" i="40"/>
  <c r="WKV49" i="40"/>
  <c r="WJP49" i="40"/>
  <c r="WIJ49" i="40"/>
  <c r="WHD49" i="40"/>
  <c r="WFX49" i="40"/>
  <c r="WER49" i="40"/>
  <c r="WDL49" i="40"/>
  <c r="WCF49" i="40"/>
  <c r="WAZ49" i="40"/>
  <c r="VZT49" i="40"/>
  <c r="VYN49" i="40"/>
  <c r="VXH49" i="40"/>
  <c r="VWB49" i="40"/>
  <c r="VUV49" i="40"/>
  <c r="VTP49" i="40"/>
  <c r="VSJ49" i="40"/>
  <c r="VRD49" i="40"/>
  <c r="VPX49" i="40"/>
  <c r="VOR49" i="40"/>
  <c r="VNL49" i="40"/>
  <c r="VMF49" i="40"/>
  <c r="VKZ49" i="40"/>
  <c r="VJT49" i="40"/>
  <c r="VIN49" i="40"/>
  <c r="VHH49" i="40"/>
  <c r="VGB49" i="40"/>
  <c r="VEV49" i="40"/>
  <c r="VDP49" i="40"/>
  <c r="VCJ49" i="40"/>
  <c r="VBD49" i="40"/>
  <c r="UZX49" i="40"/>
  <c r="UYR49" i="40"/>
  <c r="UXL49" i="40"/>
  <c r="UWF49" i="40"/>
  <c r="UUZ49" i="40"/>
  <c r="UTT49" i="40"/>
  <c r="USN49" i="40"/>
  <c r="URH49" i="40"/>
  <c r="UQB49" i="40"/>
  <c r="UOV49" i="40"/>
  <c r="UNP49" i="40"/>
  <c r="UMJ49" i="40"/>
  <c r="ULD49" i="40"/>
  <c r="UJX49" i="40"/>
  <c r="UIR49" i="40"/>
  <c r="UHL49" i="40"/>
  <c r="UGF49" i="40"/>
  <c r="UEZ49" i="40"/>
  <c r="UDT49" i="40"/>
  <c r="UCN49" i="40"/>
  <c r="UBH49" i="40"/>
  <c r="UAB49" i="40"/>
  <c r="TYV49" i="40"/>
  <c r="TXP49" i="40"/>
  <c r="TWJ49" i="40"/>
  <c r="TVD49" i="40"/>
  <c r="TTX49" i="40"/>
  <c r="TSR49" i="40"/>
  <c r="TRL49" i="40"/>
  <c r="TQF49" i="40"/>
  <c r="TOZ49" i="40"/>
  <c r="TNT49" i="40"/>
  <c r="TMN49" i="40"/>
  <c r="TLH49" i="40"/>
  <c r="TKB49" i="40"/>
  <c r="TIV49" i="40"/>
  <c r="THP49" i="40"/>
  <c r="TGJ49" i="40"/>
  <c r="TFD49" i="40"/>
  <c r="TDX49" i="40"/>
  <c r="TCR49" i="40"/>
  <c r="TBL49" i="40"/>
  <c r="TAF49" i="40"/>
  <c r="SYZ49" i="40"/>
  <c r="SXT49" i="40"/>
  <c r="SWN49" i="40"/>
  <c r="SVH49" i="40"/>
  <c r="SUB49" i="40"/>
  <c r="SSV49" i="40"/>
  <c r="SRP49" i="40"/>
  <c r="SQJ49" i="40"/>
  <c r="SPD49" i="40"/>
  <c r="SNX49" i="40"/>
  <c r="SMR49" i="40"/>
  <c r="SLL49" i="40"/>
  <c r="SKF49" i="40"/>
  <c r="SIZ49" i="40"/>
  <c r="SHT49" i="40"/>
  <c r="SGN49" i="40"/>
  <c r="SFH49" i="40"/>
  <c r="SEB49" i="40"/>
  <c r="SCV49" i="40"/>
  <c r="SBP49" i="40"/>
  <c r="SAJ49" i="40"/>
  <c r="RZD49" i="40"/>
  <c r="RXX49" i="40"/>
  <c r="RWR49" i="40"/>
  <c r="RVL49" i="40"/>
  <c r="RUF49" i="40"/>
  <c r="RSZ49" i="40"/>
  <c r="RRT49" i="40"/>
  <c r="RQN49" i="40"/>
  <c r="RPH49" i="40"/>
  <c r="ROB49" i="40"/>
  <c r="RMV49" i="40"/>
  <c r="RLP49" i="40"/>
  <c r="RKJ49" i="40"/>
  <c r="RJD49" i="40"/>
  <c r="RHX49" i="40"/>
  <c r="RGR49" i="40"/>
  <c r="RFL49" i="40"/>
  <c r="REF49" i="40"/>
  <c r="RCZ49" i="40"/>
  <c r="RBT49" i="40"/>
  <c r="RAN49" i="40"/>
  <c r="QZH49" i="40"/>
  <c r="QYB49" i="40"/>
  <c r="QWV49" i="40"/>
  <c r="QVP49" i="40"/>
  <c r="QUJ49" i="40"/>
  <c r="QTD49" i="40"/>
  <c r="QRX49" i="40"/>
  <c r="QQR49" i="40"/>
  <c r="QPL49" i="40"/>
  <c r="QOF49" i="40"/>
  <c r="QMZ49" i="40"/>
  <c r="QLT49" i="40"/>
  <c r="QKN49" i="40"/>
  <c r="QJH49" i="40"/>
  <c r="QIB49" i="40"/>
  <c r="QGV49" i="40"/>
  <c r="QFP49" i="40"/>
  <c r="QEJ49" i="40"/>
  <c r="QDD49" i="40"/>
  <c r="QBX49" i="40"/>
  <c r="QAR49" i="40"/>
  <c r="PZL49" i="40"/>
  <c r="PYF49" i="40"/>
  <c r="PWZ49" i="40"/>
  <c r="PVT49" i="40"/>
  <c r="PUN49" i="40"/>
  <c r="PTH49" i="40"/>
  <c r="PSB49" i="40"/>
  <c r="PQV49" i="40"/>
  <c r="PPP49" i="40"/>
  <c r="POJ49" i="40"/>
  <c r="PND49" i="40"/>
  <c r="PLX49" i="40"/>
  <c r="PKR49" i="40"/>
  <c r="PJL49" i="40"/>
  <c r="PIF49" i="40"/>
  <c r="PGZ49" i="40"/>
  <c r="PFT49" i="40"/>
  <c r="PEN49" i="40"/>
  <c r="PDH49" i="40"/>
  <c r="PCB49" i="40"/>
  <c r="PAV49" i="40"/>
  <c r="OZP49" i="40"/>
  <c r="OYJ49" i="40"/>
  <c r="OXD49" i="40"/>
  <c r="OVX49" i="40"/>
  <c r="OUR49" i="40"/>
  <c r="OTL49" i="40"/>
  <c r="OSF49" i="40"/>
  <c r="OQZ49" i="40"/>
  <c r="OPT49" i="40"/>
  <c r="OON49" i="40"/>
  <c r="ONH49" i="40"/>
  <c r="OMB49" i="40"/>
  <c r="OKV49" i="40"/>
  <c r="OJP49" i="40"/>
  <c r="OIJ49" i="40"/>
  <c r="OHD49" i="40"/>
  <c r="OFX49" i="40"/>
  <c r="OER49" i="40"/>
  <c r="ODL49" i="40"/>
  <c r="OCF49" i="40"/>
  <c r="OAZ49" i="40"/>
  <c r="NZT49" i="40"/>
  <c r="NYN49" i="40"/>
  <c r="NXH49" i="40"/>
  <c r="NWB49" i="40"/>
  <c r="NUV49" i="40"/>
  <c r="NTP49" i="40"/>
  <c r="NSJ49" i="40"/>
  <c r="NRD49" i="40"/>
  <c r="NPX49" i="40"/>
  <c r="NOR49" i="40"/>
  <c r="NNL49" i="40"/>
  <c r="NMF49" i="40"/>
  <c r="NKZ49" i="40"/>
  <c r="NJT49" i="40"/>
  <c r="NIN49" i="40"/>
  <c r="NHH49" i="40"/>
  <c r="NGB49" i="40"/>
  <c r="NEV49" i="40"/>
  <c r="NDP49" i="40"/>
  <c r="NCJ49" i="40"/>
  <c r="NBD49" i="40"/>
  <c r="MZX49" i="40"/>
  <c r="MYR49" i="40"/>
  <c r="MXL49" i="40"/>
  <c r="MWF49" i="40"/>
  <c r="MUZ49" i="40"/>
  <c r="MTT49" i="40"/>
  <c r="MSN49" i="40"/>
  <c r="MRH49" i="40"/>
  <c r="MQB49" i="40"/>
  <c r="MOV49" i="40"/>
  <c r="MNP49" i="40"/>
  <c r="MMJ49" i="40"/>
  <c r="MLD49" i="40"/>
  <c r="MJX49" i="40"/>
  <c r="MIR49" i="40"/>
  <c r="MHL49" i="40"/>
  <c r="MGF49" i="40"/>
  <c r="MEZ49" i="40"/>
  <c r="MDT49" i="40"/>
  <c r="MCN49" i="40"/>
  <c r="MBH49" i="40"/>
  <c r="MAB49" i="40"/>
  <c r="LYV49" i="40"/>
  <c r="LXP49" i="40"/>
  <c r="LWJ49" i="40"/>
  <c r="LVD49" i="40"/>
  <c r="LTX49" i="40"/>
  <c r="LSR49" i="40"/>
  <c r="LRL49" i="40"/>
  <c r="LQF49" i="40"/>
  <c r="LOZ49" i="40"/>
  <c r="LNT49" i="40"/>
  <c r="LMN49" i="40"/>
  <c r="LLH49" i="40"/>
  <c r="LKB49" i="40"/>
  <c r="LIV49" i="40"/>
  <c r="LHP49" i="40"/>
  <c r="LGJ49" i="40"/>
  <c r="LFD49" i="40"/>
  <c r="LDX49" i="40"/>
  <c r="LCR49" i="40"/>
  <c r="LBL49" i="40"/>
  <c r="LAF49" i="40"/>
  <c r="KYZ49" i="40"/>
  <c r="KXT49" i="40"/>
  <c r="KWN49" i="40"/>
  <c r="KVH49" i="40"/>
  <c r="KUB49" i="40"/>
  <c r="KSV49" i="40"/>
  <c r="KRP49" i="40"/>
  <c r="KQJ49" i="40"/>
  <c r="KPD49" i="40"/>
  <c r="KNX49" i="40"/>
  <c r="KMR49" i="40"/>
  <c r="KLL49" i="40"/>
  <c r="KKF49" i="40"/>
  <c r="KIZ49" i="40"/>
  <c r="KHT49" i="40"/>
  <c r="KGN49" i="40"/>
  <c r="KFH49" i="40"/>
  <c r="KEB49" i="40"/>
  <c r="KCV49" i="40"/>
  <c r="KBP49" i="40"/>
  <c r="KAJ49" i="40"/>
  <c r="JZD49" i="40"/>
  <c r="JXX49" i="40"/>
  <c r="JWR49" i="40"/>
  <c r="JVL49" i="40"/>
  <c r="JUF49" i="40"/>
  <c r="JSZ49" i="40"/>
  <c r="JRT49" i="40"/>
  <c r="JQN49" i="40"/>
  <c r="JPH49" i="40"/>
  <c r="JOB49" i="40"/>
  <c r="JMV49" i="40"/>
  <c r="JLP49" i="40"/>
  <c r="JKJ49" i="40"/>
  <c r="JJD49" i="40"/>
  <c r="JHX49" i="40"/>
  <c r="JGR49" i="40"/>
  <c r="JFL49" i="40"/>
  <c r="JEF49" i="40"/>
  <c r="JCZ49" i="40"/>
  <c r="JBT49" i="40"/>
  <c r="JAN49" i="40"/>
  <c r="IZH49" i="40"/>
  <c r="IYB49" i="40"/>
  <c r="IWV49" i="40"/>
  <c r="IVP49" i="40"/>
  <c r="IUJ49" i="40"/>
  <c r="ITD49" i="40"/>
  <c r="IRX49" i="40"/>
  <c r="IQR49" i="40"/>
  <c r="IPL49" i="40"/>
  <c r="IOF49" i="40"/>
  <c r="IMZ49" i="40"/>
  <c r="ILT49" i="40"/>
  <c r="IKN49" i="40"/>
  <c r="IJH49" i="40"/>
  <c r="IIB49" i="40"/>
  <c r="IGV49" i="40"/>
  <c r="IFP49" i="40"/>
  <c r="IEJ49" i="40"/>
  <c r="IDD49" i="40"/>
  <c r="IBX49" i="40"/>
  <c r="IAR49" i="40"/>
  <c r="HZL49" i="40"/>
  <c r="HYF49" i="40"/>
  <c r="HWZ49" i="40"/>
  <c r="HVT49" i="40"/>
  <c r="HUN49" i="40"/>
  <c r="HTH49" i="40"/>
  <c r="HSB49" i="40"/>
  <c r="HQV49" i="40"/>
  <c r="HPP49" i="40"/>
  <c r="HOJ49" i="40"/>
  <c r="HND49" i="40"/>
  <c r="HLX49" i="40"/>
  <c r="HKR49" i="40"/>
  <c r="HJL49" i="40"/>
  <c r="HIF49" i="40"/>
  <c r="HGZ49" i="40"/>
  <c r="HFT49" i="40"/>
  <c r="HEN49" i="40"/>
  <c r="HDH49" i="40"/>
  <c r="HCB49" i="40"/>
  <c r="HAV49" i="40"/>
  <c r="GZP49" i="40"/>
  <c r="GYJ49" i="40"/>
  <c r="GXD49" i="40"/>
  <c r="GVX49" i="40"/>
  <c r="GUR49" i="40"/>
  <c r="GTL49" i="40"/>
  <c r="GSF49" i="40"/>
  <c r="GQZ49" i="40"/>
  <c r="GPT49" i="40"/>
  <c r="GON49" i="40"/>
  <c r="GNH49" i="40"/>
  <c r="GMB49" i="40"/>
  <c r="GKV49" i="40"/>
  <c r="GJP49" i="40"/>
  <c r="GIJ49" i="40"/>
  <c r="GHD49" i="40"/>
  <c r="GFX49" i="40"/>
  <c r="GER49" i="40"/>
  <c r="GDL49" i="40"/>
  <c r="GCF49" i="40"/>
  <c r="GAZ49" i="40"/>
  <c r="FZT49" i="40"/>
  <c r="FYN49" i="40"/>
  <c r="FXH49" i="40"/>
  <c r="FWB49" i="40"/>
  <c r="FUV49" i="40"/>
  <c r="FTP49" i="40"/>
  <c r="FSJ49" i="40"/>
  <c r="FRD49" i="40"/>
  <c r="FPX49" i="40"/>
  <c r="FOR49" i="40"/>
  <c r="FNL49" i="40"/>
  <c r="FMF49" i="40"/>
  <c r="FKZ49" i="40"/>
  <c r="FJT49" i="40"/>
  <c r="FIN49" i="40"/>
  <c r="FHH49" i="40"/>
  <c r="FGB49" i="40"/>
  <c r="FEV49" i="40"/>
  <c r="FDP49" i="40"/>
  <c r="FCJ49" i="40"/>
  <c r="FBD49" i="40"/>
  <c r="EZX49" i="40"/>
  <c r="EYR49" i="40"/>
  <c r="EXL49" i="40"/>
  <c r="EWF49" i="40"/>
  <c r="EUZ49" i="40"/>
  <c r="ETT49" i="40"/>
  <c r="ESN49" i="40"/>
  <c r="ERH49" i="40"/>
  <c r="EQB49" i="40"/>
  <c r="EOV49" i="40"/>
  <c r="ENP49" i="40"/>
  <c r="EMJ49" i="40"/>
  <c r="ELD49" i="40"/>
  <c r="EJX49" i="40"/>
  <c r="EIR49" i="40"/>
  <c r="EHL49" i="40"/>
  <c r="EGF49" i="40"/>
  <c r="EEZ49" i="40"/>
  <c r="EDT49" i="40"/>
  <c r="ECN49" i="40"/>
  <c r="EBH49" i="40"/>
  <c r="EAB49" i="40"/>
  <c r="DYV49" i="40"/>
  <c r="DXP49" i="40"/>
  <c r="DWJ49" i="40"/>
  <c r="DVD49" i="40"/>
  <c r="DTX49" i="40"/>
  <c r="DSR49" i="40"/>
  <c r="DRL49" i="40"/>
  <c r="DQF49" i="40"/>
  <c r="DOZ49" i="40"/>
  <c r="DNT49" i="40"/>
  <c r="DMN49" i="40"/>
  <c r="DLH49" i="40"/>
  <c r="DKB49" i="40"/>
  <c r="DIV49" i="40"/>
  <c r="DHP49" i="40"/>
  <c r="DGJ49" i="40"/>
  <c r="DFD49" i="40"/>
  <c r="DDX49" i="40"/>
  <c r="DCR49" i="40"/>
  <c r="DBL49" i="40"/>
  <c r="DAF49" i="40"/>
  <c r="CYZ49" i="40"/>
  <c r="CXT49" i="40"/>
  <c r="CWN49" i="40"/>
  <c r="CVH49" i="40"/>
  <c r="CUB49" i="40"/>
  <c r="CSV49" i="40"/>
  <c r="CRP49" i="40"/>
  <c r="CQJ49" i="40"/>
  <c r="CPD49" i="40"/>
  <c r="CNX49" i="40"/>
  <c r="CMR49" i="40"/>
  <c r="CLL49" i="40"/>
  <c r="CKF49" i="40"/>
  <c r="CIZ49" i="40"/>
  <c r="CHT49" i="40"/>
  <c r="CGN49" i="40"/>
  <c r="CFH49" i="40"/>
  <c r="CEB49" i="40"/>
  <c r="CCV49" i="40"/>
  <c r="CBP49" i="40"/>
  <c r="CAJ49" i="40"/>
  <c r="BZD49" i="40"/>
  <c r="BXX49" i="40"/>
  <c r="BWR49" i="40"/>
  <c r="BVL49" i="40"/>
  <c r="BUF49" i="40"/>
  <c r="BSZ49" i="40"/>
  <c r="BRT49" i="40"/>
  <c r="BQN49" i="40"/>
  <c r="BPH49" i="40"/>
  <c r="BOB49" i="40"/>
  <c r="BMV49" i="40"/>
  <c r="BLP49" i="40"/>
  <c r="BKJ49" i="40"/>
  <c r="BJD49" i="40"/>
  <c r="BHX49" i="40"/>
  <c r="BGR49" i="40"/>
  <c r="BFL49" i="40"/>
  <c r="BEF49" i="40"/>
  <c r="BCZ49" i="40"/>
  <c r="BBT49" i="40"/>
  <c r="BAN49" i="40"/>
  <c r="AZH49" i="40"/>
  <c r="AYB49" i="40"/>
  <c r="AWV49" i="40"/>
  <c r="AVP49" i="40"/>
  <c r="AUJ49" i="40"/>
  <c r="ATD49" i="40"/>
  <c r="ARX49" i="40"/>
  <c r="AQR49" i="40"/>
  <c r="APL49" i="40"/>
  <c r="AOF49" i="40"/>
  <c r="AMZ49" i="40"/>
  <c r="ALT49" i="40"/>
  <c r="AKN49" i="40"/>
  <c r="AJH49" i="40"/>
  <c r="AIB49" i="40"/>
  <c r="AGV49" i="40"/>
  <c r="AFP49" i="40"/>
  <c r="AEJ49" i="40"/>
  <c r="ADD49" i="40"/>
  <c r="ABX49" i="40"/>
  <c r="AAR49" i="40"/>
  <c r="ZL49" i="40"/>
  <c r="YF49" i="40"/>
  <c r="WZ49" i="40"/>
  <c r="VT49" i="40"/>
  <c r="UN49" i="40"/>
  <c r="TH49" i="40"/>
  <c r="SB49" i="40"/>
  <c r="QV49" i="40"/>
  <c r="PP49" i="40"/>
  <c r="OJ49" i="40"/>
  <c r="ND49" i="40"/>
  <c r="LX49" i="40"/>
  <c r="KR49" i="40"/>
  <c r="JL49" i="40"/>
  <c r="IF49" i="40"/>
  <c r="GZ49" i="40"/>
  <c r="FT49" i="40"/>
  <c r="EN49" i="40"/>
  <c r="DH49" i="40"/>
  <c r="CB49" i="40"/>
  <c r="AV49" i="40"/>
  <c r="XEN48" i="40"/>
  <c r="XDH48" i="40"/>
  <c r="XCB48" i="40"/>
  <c r="XAV48" i="40"/>
  <c r="WZP48" i="40"/>
  <c r="WYJ48" i="40"/>
  <c r="WXD48" i="40"/>
  <c r="WVX48" i="40"/>
  <c r="WUR48" i="40"/>
  <c r="WTL48" i="40"/>
  <c r="WSF48" i="40"/>
  <c r="WQZ48" i="40"/>
  <c r="WPT48" i="40"/>
  <c r="WON48" i="40"/>
  <c r="WNH48" i="40"/>
  <c r="WMB48" i="40"/>
  <c r="WKV48" i="40"/>
  <c r="WJP48" i="40"/>
  <c r="WIJ48" i="40"/>
  <c r="WHD48" i="40"/>
  <c r="WFX48" i="40"/>
  <c r="WER48" i="40"/>
  <c r="WDL48" i="40"/>
  <c r="WCF48" i="40"/>
  <c r="WAZ48" i="40"/>
  <c r="VZT48" i="40"/>
  <c r="VYN48" i="40"/>
  <c r="VXH48" i="40"/>
  <c r="VWB48" i="40"/>
  <c r="VUV48" i="40"/>
  <c r="VTP48" i="40"/>
  <c r="VSJ48" i="40"/>
  <c r="VRD48" i="40"/>
  <c r="VPX48" i="40"/>
  <c r="VOR48" i="40"/>
  <c r="VNL48" i="40"/>
  <c r="VMF48" i="40"/>
  <c r="VKZ48" i="40"/>
  <c r="VJT48" i="40"/>
  <c r="VIN48" i="40"/>
  <c r="VHH48" i="40"/>
  <c r="VGB48" i="40"/>
  <c r="VEV48" i="40"/>
  <c r="VDP48" i="40"/>
  <c r="VCJ48" i="40"/>
  <c r="VBD48" i="40"/>
  <c r="UZX48" i="40"/>
  <c r="UYR48" i="40"/>
  <c r="UXL48" i="40"/>
  <c r="UWF48" i="40"/>
  <c r="UUZ48" i="40"/>
  <c r="UTT48" i="40"/>
  <c r="USN48" i="40"/>
  <c r="URH48" i="40"/>
  <c r="UQB48" i="40"/>
  <c r="UOV48" i="40"/>
  <c r="UNP48" i="40"/>
  <c r="UMJ48" i="40"/>
  <c r="ULD48" i="40"/>
  <c r="UJX48" i="40"/>
  <c r="UIR48" i="40"/>
  <c r="UHL48" i="40"/>
  <c r="UGF48" i="40"/>
  <c r="UEZ48" i="40"/>
  <c r="UDT48" i="40"/>
  <c r="UCN48" i="40"/>
  <c r="UBH48" i="40"/>
  <c r="UAB48" i="40"/>
  <c r="TYV48" i="40"/>
  <c r="TXP48" i="40"/>
  <c r="TWJ48" i="40"/>
  <c r="TVD48" i="40"/>
  <c r="TTX48" i="40"/>
  <c r="TSR48" i="40"/>
  <c r="TRL48" i="40"/>
  <c r="TQF48" i="40"/>
  <c r="TOZ48" i="40"/>
  <c r="TNT48" i="40"/>
  <c r="TMN48" i="40"/>
  <c r="TLH48" i="40"/>
  <c r="TKB48" i="40"/>
  <c r="TIV48" i="40"/>
  <c r="THP48" i="40"/>
  <c r="TGJ48" i="40"/>
  <c r="TFD48" i="40"/>
  <c r="TDX48" i="40"/>
  <c r="TCR48" i="40"/>
  <c r="TBL48" i="40"/>
  <c r="TAF48" i="40"/>
  <c r="SYZ48" i="40"/>
  <c r="SXT48" i="40"/>
  <c r="SWN48" i="40"/>
  <c r="SVH48" i="40"/>
  <c r="SUB48" i="40"/>
  <c r="SSV48" i="40"/>
  <c r="SRP48" i="40"/>
  <c r="SQJ48" i="40"/>
  <c r="SPD48" i="40"/>
  <c r="SNX48" i="40"/>
  <c r="SMR48" i="40"/>
  <c r="SLL48" i="40"/>
  <c r="SKF48" i="40"/>
  <c r="SIZ48" i="40"/>
  <c r="SHT48" i="40"/>
  <c r="SGN48" i="40"/>
  <c r="SFH48" i="40"/>
  <c r="SEB48" i="40"/>
  <c r="SCV48" i="40"/>
  <c r="SBP48" i="40"/>
  <c r="SAJ48" i="40"/>
  <c r="RZD48" i="40"/>
  <c r="RXX48" i="40"/>
  <c r="RWR48" i="40"/>
  <c r="RVL48" i="40"/>
  <c r="RUF48" i="40"/>
  <c r="RSZ48" i="40"/>
  <c r="RRT48" i="40"/>
  <c r="RQN48" i="40"/>
  <c r="RPH48" i="40"/>
  <c r="ROB48" i="40"/>
  <c r="RMV48" i="40"/>
  <c r="RLP48" i="40"/>
  <c r="RKJ48" i="40"/>
  <c r="RJD48" i="40"/>
  <c r="RHX48" i="40"/>
  <c r="RGR48" i="40"/>
  <c r="RFL48" i="40"/>
  <c r="REF48" i="40"/>
  <c r="RCZ48" i="40"/>
  <c r="RBT48" i="40"/>
  <c r="RAN48" i="40"/>
  <c r="QZH48" i="40"/>
  <c r="QYB48" i="40"/>
  <c r="QWV48" i="40"/>
  <c r="QVP48" i="40"/>
  <c r="QUJ48" i="40"/>
  <c r="QTD48" i="40"/>
  <c r="QRX48" i="40"/>
  <c r="QQR48" i="40"/>
  <c r="QPL48" i="40"/>
  <c r="QOF48" i="40"/>
  <c r="QMZ48" i="40"/>
  <c r="QLT48" i="40"/>
  <c r="QKN48" i="40"/>
  <c r="QJH48" i="40"/>
  <c r="QIB48" i="40"/>
  <c r="QGV48" i="40"/>
  <c r="QFP48" i="40"/>
  <c r="QEJ48" i="40"/>
  <c r="QDD48" i="40"/>
  <c r="QBX48" i="40"/>
  <c r="QAR48" i="40"/>
  <c r="PZL48" i="40"/>
  <c r="PYF48" i="40"/>
  <c r="PWZ48" i="40"/>
  <c r="PVT48" i="40"/>
  <c r="PUN48" i="40"/>
  <c r="PTH48" i="40"/>
  <c r="PSB48" i="40"/>
  <c r="PQV48" i="40"/>
  <c r="PPP48" i="40"/>
  <c r="POJ48" i="40"/>
  <c r="PND48" i="40"/>
  <c r="PLX48" i="40"/>
  <c r="PKR48" i="40"/>
  <c r="PJL48" i="40"/>
  <c r="PIF48" i="40"/>
  <c r="PGZ48" i="40"/>
  <c r="PFT48" i="40"/>
  <c r="PEN48" i="40"/>
  <c r="PDH48" i="40"/>
  <c r="PCB48" i="40"/>
  <c r="PAV48" i="40"/>
  <c r="OZP48" i="40"/>
  <c r="OYJ48" i="40"/>
  <c r="OXD48" i="40"/>
  <c r="OVX48" i="40"/>
  <c r="OUR48" i="40"/>
  <c r="OTL48" i="40"/>
  <c r="OSF48" i="40"/>
  <c r="OQZ48" i="40"/>
  <c r="OPT48" i="40"/>
  <c r="OON48" i="40"/>
  <c r="ONH48" i="40"/>
  <c r="OMB48" i="40"/>
  <c r="OKV48" i="40"/>
  <c r="OJP48" i="40"/>
  <c r="OIJ48" i="40"/>
  <c r="OHD48" i="40"/>
  <c r="OFX48" i="40"/>
  <c r="OER48" i="40"/>
  <c r="ODL48" i="40"/>
  <c r="OCF48" i="40"/>
  <c r="OAZ48" i="40"/>
  <c r="NZT48" i="40"/>
  <c r="NYN48" i="40"/>
  <c r="NXH48" i="40"/>
  <c r="NWB48" i="40"/>
  <c r="NUV48" i="40"/>
  <c r="NTP48" i="40"/>
  <c r="NSJ48" i="40"/>
  <c r="NRD48" i="40"/>
  <c r="NPX48" i="40"/>
  <c r="NOR48" i="40"/>
  <c r="NNL48" i="40"/>
  <c r="NMF48" i="40"/>
  <c r="NKZ48" i="40"/>
  <c r="NJT48" i="40"/>
  <c r="NIN48" i="40"/>
  <c r="NHH48" i="40"/>
  <c r="NGB48" i="40"/>
  <c r="NEV48" i="40"/>
  <c r="NDP48" i="40"/>
  <c r="NCJ48" i="40"/>
  <c r="NBD48" i="40"/>
  <c r="MZX48" i="40"/>
  <c r="MYR48" i="40"/>
  <c r="MXL48" i="40"/>
  <c r="MWF48" i="40"/>
  <c r="MUZ48" i="40"/>
  <c r="MTT48" i="40"/>
  <c r="MSN48" i="40"/>
  <c r="MRH48" i="40"/>
  <c r="MQB48" i="40"/>
  <c r="MOV48" i="40"/>
  <c r="MNP48" i="40"/>
  <c r="MMJ48" i="40"/>
  <c r="MLD48" i="40"/>
  <c r="MJX48" i="40"/>
  <c r="MIR48" i="40"/>
  <c r="MHL48" i="40"/>
  <c r="MGF48" i="40"/>
  <c r="MEZ48" i="40"/>
  <c r="MDT48" i="40"/>
  <c r="MCN48" i="40"/>
  <c r="MBH48" i="40"/>
  <c r="MAB48" i="40"/>
  <c r="LYV48" i="40"/>
  <c r="LXP48" i="40"/>
  <c r="LWJ48" i="40"/>
  <c r="LVD48" i="40"/>
  <c r="LTX48" i="40"/>
  <c r="LSR48" i="40"/>
  <c r="LRL48" i="40"/>
  <c r="LQF48" i="40"/>
  <c r="LOZ48" i="40"/>
  <c r="LNT48" i="40"/>
  <c r="LMN48" i="40"/>
  <c r="LLH48" i="40"/>
  <c r="LKB48" i="40"/>
  <c r="LIV48" i="40"/>
  <c r="LHP48" i="40"/>
  <c r="LGJ48" i="40"/>
  <c r="LFD48" i="40"/>
  <c r="LDX48" i="40"/>
  <c r="LCR48" i="40"/>
  <c r="LBL48" i="40"/>
  <c r="LAF48" i="40"/>
  <c r="KYZ48" i="40"/>
  <c r="KXT48" i="40"/>
  <c r="KWN48" i="40"/>
  <c r="KVH48" i="40"/>
  <c r="KUB48" i="40"/>
  <c r="KSV48" i="40"/>
  <c r="KRP48" i="40"/>
  <c r="KQJ48" i="40"/>
  <c r="KPD48" i="40"/>
  <c r="KNX48" i="40"/>
  <c r="KMR48" i="40"/>
  <c r="KLL48" i="40"/>
  <c r="KKF48" i="40"/>
  <c r="KIZ48" i="40"/>
  <c r="KHT48" i="40"/>
  <c r="KGN48" i="40"/>
  <c r="KFH48" i="40"/>
  <c r="KEB48" i="40"/>
  <c r="KCV48" i="40"/>
  <c r="KBP48" i="40"/>
  <c r="KAJ48" i="40"/>
  <c r="JZD48" i="40"/>
  <c r="JXX48" i="40"/>
  <c r="JWR48" i="40"/>
  <c r="JVL48" i="40"/>
  <c r="JUF48" i="40"/>
  <c r="JSZ48" i="40"/>
  <c r="JRT48" i="40"/>
  <c r="JQN48" i="40"/>
  <c r="JPH48" i="40"/>
  <c r="JOB48" i="40"/>
  <c r="JMV48" i="40"/>
  <c r="JLP48" i="40"/>
  <c r="JKJ48" i="40"/>
  <c r="JJD48" i="40"/>
  <c r="JHX48" i="40"/>
  <c r="JGR48" i="40"/>
  <c r="JFL48" i="40"/>
  <c r="JEF48" i="40"/>
  <c r="JCZ48" i="40"/>
  <c r="JBT48" i="40"/>
  <c r="JAN48" i="40"/>
  <c r="IZH48" i="40"/>
  <c r="IYB48" i="40"/>
  <c r="IWV48" i="40"/>
  <c r="IVP48" i="40"/>
  <c r="IUJ48" i="40"/>
  <c r="ITD48" i="40"/>
  <c r="IRX48" i="40"/>
  <c r="IQR48" i="40"/>
  <c r="IPL48" i="40"/>
  <c r="IOF48" i="40"/>
  <c r="IMZ48" i="40"/>
  <c r="ILT48" i="40"/>
  <c r="IKN48" i="40"/>
  <c r="IJH48" i="40"/>
  <c r="IIB48" i="40"/>
  <c r="IGV48" i="40"/>
  <c r="IFP48" i="40"/>
  <c r="IEJ48" i="40"/>
  <c r="IDD48" i="40"/>
  <c r="IBX48" i="40"/>
  <c r="IAR48" i="40"/>
  <c r="HZL48" i="40"/>
  <c r="HYF48" i="40"/>
  <c r="HWZ48" i="40"/>
  <c r="HVT48" i="40"/>
  <c r="HUN48" i="40"/>
  <c r="HTH48" i="40"/>
  <c r="HSB48" i="40"/>
  <c r="HQV48" i="40"/>
  <c r="HPP48" i="40"/>
  <c r="HOJ48" i="40"/>
  <c r="HND48" i="40"/>
  <c r="HLX48" i="40"/>
  <c r="HKR48" i="40"/>
  <c r="HJL48" i="40"/>
  <c r="HIF48" i="40"/>
  <c r="HGZ48" i="40"/>
  <c r="HFT48" i="40"/>
  <c r="HEN48" i="40"/>
  <c r="HDH48" i="40"/>
  <c r="HCB48" i="40"/>
  <c r="HAV48" i="40"/>
  <c r="GZP48" i="40"/>
  <c r="GYJ48" i="40"/>
  <c r="GXD48" i="40"/>
  <c r="GVX48" i="40"/>
  <c r="GUR48" i="40"/>
  <c r="GTL48" i="40"/>
  <c r="GSF48" i="40"/>
  <c r="GQZ48" i="40"/>
  <c r="GPT48" i="40"/>
  <c r="GON48" i="40"/>
  <c r="GNH48" i="40"/>
  <c r="GMB48" i="40"/>
  <c r="GKV48" i="40"/>
  <c r="GJP48" i="40"/>
  <c r="GIJ48" i="40"/>
  <c r="GHD48" i="40"/>
  <c r="GFX48" i="40"/>
  <c r="GER48" i="40"/>
  <c r="GDL48" i="40"/>
  <c r="GCF48" i="40"/>
  <c r="GAZ48" i="40"/>
  <c r="FZT48" i="40"/>
  <c r="FYN48" i="40"/>
  <c r="FXH48" i="40"/>
  <c r="FWB48" i="40"/>
  <c r="FUV48" i="40"/>
  <c r="FTP48" i="40"/>
  <c r="FSJ48" i="40"/>
  <c r="FRD48" i="40"/>
  <c r="FPX48" i="40"/>
  <c r="FOR48" i="40"/>
  <c r="FNL48" i="40"/>
  <c r="FMF48" i="40"/>
  <c r="FKZ48" i="40"/>
  <c r="FJT48" i="40"/>
  <c r="FIN48" i="40"/>
  <c r="FHH48" i="40"/>
  <c r="FGB48" i="40"/>
  <c r="FEV48" i="40"/>
  <c r="FDP48" i="40"/>
  <c r="FCJ48" i="40"/>
  <c r="FBD48" i="40"/>
  <c r="EZX48" i="40"/>
  <c r="EYR48" i="40"/>
  <c r="EXL48" i="40"/>
  <c r="EWF48" i="40"/>
  <c r="EUZ48" i="40"/>
  <c r="ETT48" i="40"/>
  <c r="ESN48" i="40"/>
  <c r="ERH48" i="40"/>
  <c r="EQB48" i="40"/>
  <c r="EOV48" i="40"/>
  <c r="ENP48" i="40"/>
  <c r="EMJ48" i="40"/>
  <c r="ELD48" i="40"/>
  <c r="EJX48" i="40"/>
  <c r="EIR48" i="40"/>
  <c r="EHL48" i="40"/>
  <c r="EGF48" i="40"/>
  <c r="EEZ48" i="40"/>
  <c r="EDT48" i="40"/>
  <c r="ECN48" i="40"/>
  <c r="EBH48" i="40"/>
  <c r="EAB48" i="40"/>
  <c r="DYV48" i="40"/>
  <c r="DXP48" i="40"/>
  <c r="DWJ48" i="40"/>
  <c r="DVD48" i="40"/>
  <c r="DTX48" i="40"/>
  <c r="DSR48" i="40"/>
  <c r="DRL48" i="40"/>
  <c r="DQF48" i="40"/>
  <c r="DOZ48" i="40"/>
  <c r="DNT48" i="40"/>
  <c r="DMN48" i="40"/>
  <c r="DLH48" i="40"/>
  <c r="DKB48" i="40"/>
  <c r="DIV48" i="40"/>
  <c r="DHP48" i="40"/>
  <c r="DGJ48" i="40"/>
  <c r="DFD48" i="40"/>
  <c r="DDX48" i="40"/>
  <c r="DCR48" i="40"/>
  <c r="DBL48" i="40"/>
  <c r="DAF48" i="40"/>
  <c r="CYZ48" i="40"/>
  <c r="CXT48" i="40"/>
  <c r="CWN48" i="40"/>
  <c r="CVH48" i="40"/>
  <c r="CUB48" i="40"/>
  <c r="CSV48" i="40"/>
  <c r="CRP48" i="40"/>
  <c r="CQJ48" i="40"/>
  <c r="CPD48" i="40"/>
  <c r="CNX48" i="40"/>
  <c r="CMR48" i="40"/>
  <c r="CLL48" i="40"/>
  <c r="CKF48" i="40"/>
  <c r="CIZ48" i="40"/>
  <c r="CHT48" i="40"/>
  <c r="CGN48" i="40"/>
  <c r="CFH48" i="40"/>
  <c r="CEB48" i="40"/>
  <c r="CCV48" i="40"/>
  <c r="CBP48" i="40"/>
  <c r="CAJ48" i="40"/>
  <c r="BZD48" i="40"/>
  <c r="BXX48" i="40"/>
  <c r="BWR48" i="40"/>
  <c r="BVL48" i="40"/>
  <c r="BUF48" i="40"/>
  <c r="BSZ48" i="40"/>
  <c r="BRT48" i="40"/>
  <c r="BQN48" i="40"/>
  <c r="BPH48" i="40"/>
  <c r="BOB48" i="40"/>
  <c r="BMV48" i="40"/>
  <c r="BLP48" i="40"/>
  <c r="BKJ48" i="40"/>
  <c r="BJD48" i="40"/>
  <c r="BHX48" i="40"/>
  <c r="BGR48" i="40"/>
  <c r="BFL48" i="40"/>
  <c r="BEF48" i="40"/>
  <c r="BCZ48" i="40"/>
  <c r="BBT48" i="40"/>
  <c r="BAN48" i="40"/>
  <c r="AZH48" i="40"/>
  <c r="AYB48" i="40"/>
  <c r="AWV48" i="40"/>
  <c r="AVP48" i="40"/>
  <c r="AUJ48" i="40"/>
  <c r="ATD48" i="40"/>
  <c r="ARX48" i="40"/>
  <c r="AQR48" i="40"/>
  <c r="APL48" i="40"/>
  <c r="AOF48" i="40"/>
  <c r="AMZ48" i="40"/>
  <c r="ALT48" i="40"/>
  <c r="AKN48" i="40"/>
  <c r="AJH48" i="40"/>
  <c r="AIB48" i="40"/>
  <c r="AGV48" i="40"/>
  <c r="AFP48" i="40"/>
  <c r="AEJ48" i="40"/>
  <c r="ADD48" i="40"/>
  <c r="ABX48" i="40"/>
  <c r="AAR48" i="40"/>
  <c r="ZL48" i="40"/>
  <c r="YF48" i="40"/>
  <c r="WZ48" i="40"/>
  <c r="VT48" i="40"/>
  <c r="UN48" i="40"/>
  <c r="TH48" i="40"/>
  <c r="SB48" i="40"/>
  <c r="QV48" i="40"/>
  <c r="PP48" i="40"/>
  <c r="OJ48" i="40"/>
  <c r="ND48" i="40"/>
  <c r="LX48" i="40"/>
  <c r="KR48" i="40"/>
  <c r="JL48" i="40"/>
  <c r="IF48" i="40"/>
  <c r="GZ48" i="40"/>
  <c r="FT48" i="40"/>
  <c r="EN48" i="40"/>
  <c r="DH48" i="40"/>
  <c r="CB48" i="40"/>
  <c r="AV48" i="40"/>
  <c r="I68" i="40"/>
  <c r="XEN51" i="40"/>
  <c r="XDH51" i="40"/>
  <c r="XCB51" i="40"/>
  <c r="XAV51" i="40"/>
  <c r="WZP51" i="40"/>
  <c r="WYJ51" i="40"/>
  <c r="WXD51" i="40"/>
  <c r="WVX51" i="40"/>
  <c r="WUR51" i="40"/>
  <c r="WTL51" i="40"/>
  <c r="WSF51" i="40"/>
  <c r="WQZ51" i="40"/>
  <c r="WPT51" i="40"/>
  <c r="WON51" i="40"/>
  <c r="WNH51" i="40"/>
  <c r="WMB51" i="40"/>
  <c r="WKV51" i="40"/>
  <c r="WJP51" i="40"/>
  <c r="WIJ51" i="40"/>
  <c r="WHD51" i="40"/>
  <c r="WFX51" i="40"/>
  <c r="WER51" i="40"/>
  <c r="WDL51" i="40"/>
  <c r="WCF51" i="40"/>
  <c r="WAZ51" i="40"/>
  <c r="VZT51" i="40"/>
  <c r="VYN51" i="40"/>
  <c r="VXH51" i="40"/>
  <c r="VWB51" i="40"/>
  <c r="VUV51" i="40"/>
  <c r="VTP51" i="40"/>
  <c r="VSJ51" i="40"/>
  <c r="VRD51" i="40"/>
  <c r="VPX51" i="40"/>
  <c r="VOR51" i="40"/>
  <c r="VNL51" i="40"/>
  <c r="VMF51" i="40"/>
  <c r="VKZ51" i="40"/>
  <c r="VJT51" i="40"/>
  <c r="VIN51" i="40"/>
  <c r="VHH51" i="40"/>
  <c r="VGB51" i="40"/>
  <c r="VEV51" i="40"/>
  <c r="VDP51" i="40"/>
  <c r="VCJ51" i="40"/>
  <c r="VBD51" i="40"/>
  <c r="UZX51" i="40"/>
  <c r="UYR51" i="40"/>
  <c r="UXL51" i="40"/>
  <c r="UWF51" i="40"/>
  <c r="UUZ51" i="40"/>
  <c r="UTT51" i="40"/>
  <c r="USN51" i="40"/>
  <c r="URH51" i="40"/>
  <c r="UQB51" i="40"/>
  <c r="UOV51" i="40"/>
  <c r="UNP51" i="40"/>
  <c r="UMJ51" i="40"/>
  <c r="ULD51" i="40"/>
  <c r="UJX51" i="40"/>
  <c r="UIR51" i="40"/>
  <c r="UHL51" i="40"/>
  <c r="UGF51" i="40"/>
  <c r="UEZ51" i="40"/>
  <c r="UDT51" i="40"/>
  <c r="UCN51" i="40"/>
  <c r="UBH51" i="40"/>
  <c r="UAB51" i="40"/>
  <c r="TYV51" i="40"/>
  <c r="TXP51" i="40"/>
  <c r="TWJ51" i="40"/>
  <c r="TVD51" i="40"/>
  <c r="TTX51" i="40"/>
  <c r="TSR51" i="40"/>
  <c r="TRL51" i="40"/>
  <c r="TQF51" i="40"/>
  <c r="TOZ51" i="40"/>
  <c r="TNT51" i="40"/>
  <c r="TMN51" i="40"/>
  <c r="TLH51" i="40"/>
  <c r="TKB51" i="40"/>
  <c r="TIV51" i="40"/>
  <c r="THP51" i="40"/>
  <c r="TGJ51" i="40"/>
  <c r="TFD51" i="40"/>
  <c r="TDX51" i="40"/>
  <c r="TCR51" i="40"/>
  <c r="TBL51" i="40"/>
  <c r="TAF51" i="40"/>
  <c r="SYZ51" i="40"/>
  <c r="SXT51" i="40"/>
  <c r="SWN51" i="40"/>
  <c r="SVH51" i="40"/>
  <c r="SUB51" i="40"/>
  <c r="SSV51" i="40"/>
  <c r="SRP51" i="40"/>
  <c r="SQJ51" i="40"/>
  <c r="SPD51" i="40"/>
  <c r="SNX51" i="40"/>
  <c r="SMR51" i="40"/>
  <c r="SLL51" i="40"/>
  <c r="SKF51" i="40"/>
  <c r="SIZ51" i="40"/>
  <c r="SHT51" i="40"/>
  <c r="SGN51" i="40"/>
  <c r="SFH51" i="40"/>
  <c r="SEB51" i="40"/>
  <c r="SCV51" i="40"/>
  <c r="SBP51" i="40"/>
  <c r="SAJ51" i="40"/>
  <c r="RZD51" i="40"/>
  <c r="RXX51" i="40"/>
  <c r="RWR51" i="40"/>
  <c r="RVL51" i="40"/>
  <c r="RUF51" i="40"/>
  <c r="RSZ51" i="40"/>
  <c r="RRT51" i="40"/>
  <c r="RQN51" i="40"/>
  <c r="RPH51" i="40"/>
  <c r="ROB51" i="40"/>
  <c r="RMV51" i="40"/>
  <c r="RLP51" i="40"/>
  <c r="RKJ51" i="40"/>
  <c r="RJD51" i="40"/>
  <c r="RHX51" i="40"/>
  <c r="RGR51" i="40"/>
  <c r="RFL51" i="40"/>
  <c r="REF51" i="40"/>
  <c r="RCZ51" i="40"/>
  <c r="RBT51" i="40"/>
  <c r="RAN51" i="40"/>
  <c r="QZH51" i="40"/>
  <c r="QYB51" i="40"/>
  <c r="QWV51" i="40"/>
  <c r="QVP51" i="40"/>
  <c r="QUJ51" i="40"/>
  <c r="QTD51" i="40"/>
  <c r="QRX51" i="40"/>
  <c r="QQR51" i="40"/>
  <c r="QPL51" i="40"/>
  <c r="QOF51" i="40"/>
  <c r="QMZ51" i="40"/>
  <c r="QLT51" i="40"/>
  <c r="QKN51" i="40"/>
  <c r="QJH51" i="40"/>
  <c r="QIB51" i="40"/>
  <c r="QGV51" i="40"/>
  <c r="QFP51" i="40"/>
  <c r="QEJ51" i="40"/>
  <c r="QDD51" i="40"/>
  <c r="QBX51" i="40"/>
  <c r="QAR51" i="40"/>
  <c r="PZL51" i="40"/>
  <c r="PYF51" i="40"/>
  <c r="PWZ51" i="40"/>
  <c r="PVT51" i="40"/>
  <c r="PUN51" i="40"/>
  <c r="PTH51" i="40"/>
  <c r="PSB51" i="40"/>
  <c r="PQV51" i="40"/>
  <c r="PPP51" i="40"/>
  <c r="POJ51" i="40"/>
  <c r="PND51" i="40"/>
  <c r="PLX51" i="40"/>
  <c r="PKR51" i="40"/>
  <c r="PJL51" i="40"/>
  <c r="PIF51" i="40"/>
  <c r="PGZ51" i="40"/>
  <c r="PFT51" i="40"/>
  <c r="PEN51" i="40"/>
  <c r="PDH51" i="40"/>
  <c r="PCB51" i="40"/>
  <c r="PAV51" i="40"/>
  <c r="OZP51" i="40"/>
  <c r="OYJ51" i="40"/>
  <c r="OXD51" i="40"/>
  <c r="OVX51" i="40"/>
  <c r="OUR51" i="40"/>
  <c r="OTL51" i="40"/>
  <c r="OSF51" i="40"/>
  <c r="OQZ51" i="40"/>
  <c r="OPT51" i="40"/>
  <c r="OON51" i="40"/>
  <c r="ONH51" i="40"/>
  <c r="OMB51" i="40"/>
  <c r="OKV51" i="40"/>
  <c r="OJP51" i="40"/>
  <c r="OIJ51" i="40"/>
  <c r="OHD51" i="40"/>
  <c r="OFX51" i="40"/>
  <c r="OER51" i="40"/>
  <c r="ODL51" i="40"/>
  <c r="OCF51" i="40"/>
  <c r="OAZ51" i="40"/>
  <c r="NZT51" i="40"/>
  <c r="NYN51" i="40"/>
  <c r="NXH51" i="40"/>
  <c r="NWB51" i="40"/>
  <c r="NUV51" i="40"/>
  <c r="NTP51" i="40"/>
  <c r="NSJ51" i="40"/>
  <c r="NRD51" i="40"/>
  <c r="NPX51" i="40"/>
  <c r="NOR51" i="40"/>
  <c r="NNL51" i="40"/>
  <c r="NMF51" i="40"/>
  <c r="NKZ51" i="40"/>
  <c r="NJT51" i="40"/>
  <c r="NIN51" i="40"/>
  <c r="NHH51" i="40"/>
  <c r="NGB51" i="40"/>
  <c r="NEV51" i="40"/>
  <c r="NDP51" i="40"/>
  <c r="NCJ51" i="40"/>
  <c r="NBD51" i="40"/>
  <c r="MZX51" i="40"/>
  <c r="MYR51" i="40"/>
  <c r="MXL51" i="40"/>
  <c r="MWF51" i="40"/>
  <c r="MUZ51" i="40"/>
  <c r="MTT51" i="40"/>
  <c r="MSN51" i="40"/>
  <c r="MRH51" i="40"/>
  <c r="MQB51" i="40"/>
  <c r="MOV51" i="40"/>
  <c r="MNP51" i="40"/>
  <c r="MMJ51" i="40"/>
  <c r="MLD51" i="40"/>
  <c r="MJX51" i="40"/>
  <c r="MIR51" i="40"/>
  <c r="MHL51" i="40"/>
  <c r="MGF51" i="40"/>
  <c r="MEZ51" i="40"/>
  <c r="MDT51" i="40"/>
  <c r="MCN51" i="40"/>
  <c r="MBH51" i="40"/>
  <c r="MAB51" i="40"/>
  <c r="LYV51" i="40"/>
  <c r="LXP51" i="40"/>
  <c r="LWJ51" i="40"/>
  <c r="LVD51" i="40"/>
  <c r="LTX51" i="40"/>
  <c r="LSR51" i="40"/>
  <c r="LRL51" i="40"/>
  <c r="LQF51" i="40"/>
  <c r="LOZ51" i="40"/>
  <c r="LNT51" i="40"/>
  <c r="LMN51" i="40"/>
  <c r="LLH51" i="40"/>
  <c r="LKB51" i="40"/>
  <c r="LIV51" i="40"/>
  <c r="LHP51" i="40"/>
  <c r="LGJ51" i="40"/>
  <c r="LFD51" i="40"/>
  <c r="LDX51" i="40"/>
  <c r="LCR51" i="40"/>
  <c r="LBL51" i="40"/>
  <c r="LAF51" i="40"/>
  <c r="KYZ51" i="40"/>
  <c r="KXT51" i="40"/>
  <c r="KWN51" i="40"/>
  <c r="KVH51" i="40"/>
  <c r="KUB51" i="40"/>
  <c r="KSV51" i="40"/>
  <c r="KRP51" i="40"/>
  <c r="KQJ51" i="40"/>
  <c r="KPD51" i="40"/>
  <c r="KNX51" i="40"/>
  <c r="KMR51" i="40"/>
  <c r="KLL51" i="40"/>
  <c r="KKF51" i="40"/>
  <c r="KIZ51" i="40"/>
  <c r="KHT51" i="40"/>
  <c r="KGN51" i="40"/>
  <c r="KFH51" i="40"/>
  <c r="KEB51" i="40"/>
  <c r="KCV51" i="40"/>
  <c r="KBP51" i="40"/>
  <c r="KAJ51" i="40"/>
  <c r="JZD51" i="40"/>
  <c r="JXX51" i="40"/>
  <c r="JWR51" i="40"/>
  <c r="JVL51" i="40"/>
  <c r="JUF51" i="40"/>
  <c r="JSZ51" i="40"/>
  <c r="JRT51" i="40"/>
  <c r="JQN51" i="40"/>
  <c r="JPH51" i="40"/>
  <c r="JOB51" i="40"/>
  <c r="JMV51" i="40"/>
  <c r="JLP51" i="40"/>
  <c r="JKJ51" i="40"/>
  <c r="JJD51" i="40"/>
  <c r="JHX51" i="40"/>
  <c r="JGR51" i="40"/>
  <c r="JFL51" i="40"/>
  <c r="JEF51" i="40"/>
  <c r="JCZ51" i="40"/>
  <c r="JBT51" i="40"/>
  <c r="JAN51" i="40"/>
  <c r="IZH51" i="40"/>
  <c r="IYB51" i="40"/>
  <c r="IWV51" i="40"/>
  <c r="IVP51" i="40"/>
  <c r="IUJ51" i="40"/>
  <c r="ITD51" i="40"/>
  <c r="IRX51" i="40"/>
  <c r="IQR51" i="40"/>
  <c r="IPL51" i="40"/>
  <c r="IOF51" i="40"/>
  <c r="IMZ51" i="40"/>
  <c r="ILT51" i="40"/>
  <c r="IKN51" i="40"/>
  <c r="IJH51" i="40"/>
  <c r="IIB51" i="40"/>
  <c r="IGV51" i="40"/>
  <c r="IFP51" i="40"/>
  <c r="IEJ51" i="40"/>
  <c r="IDD51" i="40"/>
  <c r="IBX51" i="40"/>
  <c r="IAR51" i="40"/>
  <c r="HZL51" i="40"/>
  <c r="HYF51" i="40"/>
  <c r="HWZ51" i="40"/>
  <c r="HVT51" i="40"/>
  <c r="HUN51" i="40"/>
  <c r="HTH51" i="40"/>
  <c r="HSB51" i="40"/>
  <c r="HQV51" i="40"/>
  <c r="HPP51" i="40"/>
  <c r="HOJ51" i="40"/>
  <c r="HND51" i="40"/>
  <c r="HLX51" i="40"/>
  <c r="HKR51" i="40"/>
  <c r="HJL51" i="40"/>
  <c r="HIF51" i="40"/>
  <c r="HGZ51" i="40"/>
  <c r="HFT51" i="40"/>
  <c r="HEN51" i="40"/>
  <c r="HDH51" i="40"/>
  <c r="HCB51" i="40"/>
  <c r="HAV51" i="40"/>
  <c r="GZP51" i="40"/>
  <c r="GYJ51" i="40"/>
  <c r="GXD51" i="40"/>
  <c r="GVX51" i="40"/>
  <c r="GUR51" i="40"/>
  <c r="GTL51" i="40"/>
  <c r="GSF51" i="40"/>
  <c r="GQZ51" i="40"/>
  <c r="GPT51" i="40"/>
  <c r="GON51" i="40"/>
  <c r="GNH51" i="40"/>
  <c r="GMB51" i="40"/>
  <c r="GKV51" i="40"/>
  <c r="GJP51" i="40"/>
  <c r="GIJ51" i="40"/>
  <c r="GHD51" i="40"/>
  <c r="GFX51" i="40"/>
  <c r="GER51" i="40"/>
  <c r="GDL51" i="40"/>
  <c r="GCF51" i="40"/>
  <c r="GAZ51" i="40"/>
  <c r="FZT51" i="40"/>
  <c r="FYN51" i="40"/>
  <c r="FXH51" i="40"/>
  <c r="FWB51" i="40"/>
  <c r="FUV51" i="40"/>
  <c r="FTP51" i="40"/>
  <c r="FSJ51" i="40"/>
  <c r="FRD51" i="40"/>
  <c r="FPX51" i="40"/>
  <c r="FOR51" i="40"/>
  <c r="FNL51" i="40"/>
  <c r="FMF51" i="40"/>
  <c r="FKZ51" i="40"/>
  <c r="FJT51" i="40"/>
  <c r="FIN51" i="40"/>
  <c r="FHH51" i="40"/>
  <c r="FGB51" i="40"/>
  <c r="FEV51" i="40"/>
  <c r="FDP51" i="40"/>
  <c r="FCJ51" i="40"/>
  <c r="FBD51" i="40"/>
  <c r="EZX51" i="40"/>
  <c r="EYR51" i="40"/>
  <c r="EXL51" i="40"/>
  <c r="EWF51" i="40"/>
  <c r="EUZ51" i="40"/>
  <c r="ETT51" i="40"/>
  <c r="ESN51" i="40"/>
  <c r="ERH51" i="40"/>
  <c r="EQB51" i="40"/>
  <c r="EOV51" i="40"/>
  <c r="ENP51" i="40"/>
  <c r="EMJ51" i="40"/>
  <c r="ELD51" i="40"/>
  <c r="EJX51" i="40"/>
  <c r="EIR51" i="40"/>
  <c r="EHL51" i="40"/>
  <c r="EGF51" i="40"/>
  <c r="EEZ51" i="40"/>
  <c r="EDT51" i="40"/>
  <c r="ECN51" i="40"/>
  <c r="EBH51" i="40"/>
  <c r="EAB51" i="40"/>
  <c r="DYV51" i="40"/>
  <c r="DXP51" i="40"/>
  <c r="DWJ51" i="40"/>
  <c r="DVD51" i="40"/>
  <c r="DTX51" i="40"/>
  <c r="DSR51" i="40"/>
  <c r="DRL51" i="40"/>
  <c r="DQF51" i="40"/>
  <c r="DOZ51" i="40"/>
  <c r="DNT51" i="40"/>
  <c r="DMN51" i="40"/>
  <c r="DLH51" i="40"/>
  <c r="DKB51" i="40"/>
  <c r="DIV51" i="40"/>
  <c r="DHP51" i="40"/>
  <c r="DGJ51" i="40"/>
  <c r="DFD51" i="40"/>
  <c r="DDX51" i="40"/>
  <c r="DCR51" i="40"/>
  <c r="DBL51" i="40"/>
  <c r="DAF51" i="40"/>
  <c r="CYZ51" i="40"/>
  <c r="CXT51" i="40"/>
  <c r="CWN51" i="40"/>
  <c r="CVH51" i="40"/>
  <c r="CUB51" i="40"/>
  <c r="CSV51" i="40"/>
  <c r="CRP51" i="40"/>
  <c r="CQJ51" i="40"/>
  <c r="CPD51" i="40"/>
  <c r="CNX51" i="40"/>
  <c r="CMR51" i="40"/>
  <c r="CLL51" i="40"/>
  <c r="CKF51" i="40"/>
  <c r="CIZ51" i="40"/>
  <c r="CHT51" i="40"/>
  <c r="CGN51" i="40"/>
  <c r="CFH51" i="40"/>
  <c r="CEB51" i="40"/>
  <c r="CCV51" i="40"/>
  <c r="CBP51" i="40"/>
  <c r="CAJ51" i="40"/>
  <c r="BZD51" i="40"/>
  <c r="BXX51" i="40"/>
  <c r="BWR51" i="40"/>
  <c r="BVL51" i="40"/>
  <c r="BUF51" i="40"/>
  <c r="BSZ51" i="40"/>
  <c r="BRT51" i="40"/>
  <c r="BQN51" i="40"/>
  <c r="BPH51" i="40"/>
  <c r="BOB51" i="40"/>
  <c r="BMV51" i="40"/>
  <c r="BLP51" i="40"/>
  <c r="BKJ51" i="40"/>
  <c r="BJD51" i="40"/>
  <c r="BHX51" i="40"/>
  <c r="BGR51" i="40"/>
  <c r="BFL51" i="40"/>
  <c r="BEF51" i="40"/>
  <c r="BCZ51" i="40"/>
  <c r="BBT51" i="40"/>
  <c r="BAN51" i="40"/>
  <c r="AZH51" i="40"/>
  <c r="AYB51" i="40"/>
  <c r="AWV51" i="40"/>
  <c r="AVP51" i="40"/>
  <c r="AUJ51" i="40"/>
  <c r="ATD51" i="40"/>
  <c r="ARX51" i="40"/>
  <c r="AQR51" i="40"/>
  <c r="APL51" i="40"/>
  <c r="AOF51" i="40"/>
  <c r="AMZ51" i="40"/>
  <c r="ALT51" i="40"/>
  <c r="AKN51" i="40"/>
  <c r="AJH51" i="40"/>
  <c r="AIB51" i="40"/>
  <c r="AGV51" i="40"/>
  <c r="AFP51" i="40"/>
  <c r="AEJ51" i="40"/>
  <c r="ADD51" i="40"/>
  <c r="ABX51" i="40"/>
  <c r="AAR51" i="40"/>
  <c r="ZL51" i="40"/>
  <c r="YF51" i="40"/>
  <c r="WZ51" i="40"/>
  <c r="VT51" i="40"/>
  <c r="UN51" i="40"/>
  <c r="TH51" i="40"/>
  <c r="SB51" i="40"/>
  <c r="QV51" i="40"/>
  <c r="PP51" i="40"/>
  <c r="OJ51" i="40"/>
  <c r="ND51" i="40"/>
  <c r="LX51" i="40"/>
  <c r="KR51" i="40"/>
  <c r="JL51" i="40"/>
  <c r="IF51" i="40"/>
  <c r="GZ51" i="40"/>
  <c r="FT51" i="40"/>
  <c r="EN51" i="40"/>
  <c r="DH51" i="40"/>
  <c r="CB51" i="40"/>
  <c r="AV51" i="40"/>
  <c r="XEN50" i="40"/>
  <c r="XDH50" i="40"/>
  <c r="XCB50" i="40"/>
  <c r="XAV50" i="40"/>
  <c r="WZP50" i="40"/>
  <c r="WYJ50" i="40"/>
  <c r="WXD50" i="40"/>
  <c r="WVX50" i="40"/>
  <c r="WUR50" i="40"/>
  <c r="WTL50" i="40"/>
  <c r="WSF50" i="40"/>
  <c r="WQZ50" i="40"/>
  <c r="WPT50" i="40"/>
  <c r="WON50" i="40"/>
  <c r="WNH50" i="40"/>
  <c r="WMB50" i="40"/>
  <c r="WKV50" i="40"/>
  <c r="WJP50" i="40"/>
  <c r="WIJ50" i="40"/>
  <c r="WHD50" i="40"/>
  <c r="WFX50" i="40"/>
  <c r="WER50" i="40"/>
  <c r="WDL50" i="40"/>
  <c r="WCF50" i="40"/>
  <c r="WAZ50" i="40"/>
  <c r="VZT50" i="40"/>
  <c r="VYN50" i="40"/>
  <c r="VXH50" i="40"/>
  <c r="VWB50" i="40"/>
  <c r="VUV50" i="40"/>
  <c r="VTP50" i="40"/>
  <c r="VSJ50" i="40"/>
  <c r="VRD50" i="40"/>
  <c r="VPX50" i="40"/>
  <c r="VOR50" i="40"/>
  <c r="VNL50" i="40"/>
  <c r="VMF50" i="40"/>
  <c r="VKZ50" i="40"/>
  <c r="VJT50" i="40"/>
  <c r="VIN50" i="40"/>
  <c r="VHH50" i="40"/>
  <c r="VGB50" i="40"/>
  <c r="VEV50" i="40"/>
  <c r="VDP50" i="40"/>
  <c r="VCJ50" i="40"/>
  <c r="VBD50" i="40"/>
  <c r="UZX50" i="40"/>
  <c r="UYR50" i="40"/>
  <c r="UXL50" i="40"/>
  <c r="UWF50" i="40"/>
  <c r="UUZ50" i="40"/>
  <c r="UTT50" i="40"/>
  <c r="USN50" i="40"/>
  <c r="URH50" i="40"/>
  <c r="UQB50" i="40"/>
  <c r="UOV50" i="40"/>
  <c r="UNP50" i="40"/>
  <c r="UMJ50" i="40"/>
  <c r="ULD50" i="40"/>
  <c r="UJX50" i="40"/>
  <c r="UIR50" i="40"/>
  <c r="UHL50" i="40"/>
  <c r="UGF50" i="40"/>
  <c r="UEZ50" i="40"/>
  <c r="UDT50" i="40"/>
  <c r="UCN50" i="40"/>
  <c r="UBH50" i="40"/>
  <c r="UAB50" i="40"/>
  <c r="TYV50" i="40"/>
  <c r="TXP50" i="40"/>
  <c r="TWJ50" i="40"/>
  <c r="TVD50" i="40"/>
  <c r="TTX50" i="40"/>
  <c r="TSR50" i="40"/>
  <c r="TRL50" i="40"/>
  <c r="TQF50" i="40"/>
  <c r="TOZ50" i="40"/>
  <c r="TNT50" i="40"/>
  <c r="TMN50" i="40"/>
  <c r="TLH50" i="40"/>
  <c r="TKB50" i="40"/>
  <c r="TIV50" i="40"/>
  <c r="THP50" i="40"/>
  <c r="TGJ50" i="40"/>
  <c r="TFD50" i="40"/>
  <c r="TDX50" i="40"/>
  <c r="TCR50" i="40"/>
  <c r="TBL50" i="40"/>
  <c r="TAF50" i="40"/>
  <c r="SYZ50" i="40"/>
  <c r="SXT50" i="40"/>
  <c r="SWN50" i="40"/>
  <c r="SVH50" i="40"/>
  <c r="SUB50" i="40"/>
  <c r="SSV50" i="40"/>
  <c r="SRP50" i="40"/>
  <c r="SQJ50" i="40"/>
  <c r="SPD50" i="40"/>
  <c r="SNX50" i="40"/>
  <c r="SMR50" i="40"/>
  <c r="SLL50" i="40"/>
  <c r="SKF50" i="40"/>
  <c r="SIZ50" i="40"/>
  <c r="SHT50" i="40"/>
  <c r="SGN50" i="40"/>
  <c r="SFH50" i="40"/>
  <c r="SEB50" i="40"/>
  <c r="SCV50" i="40"/>
  <c r="SBP50" i="40"/>
  <c r="SAJ50" i="40"/>
  <c r="RZD50" i="40"/>
  <c r="RXX50" i="40"/>
  <c r="RWR50" i="40"/>
  <c r="RVL50" i="40"/>
  <c r="RUF50" i="40"/>
  <c r="RSZ50" i="40"/>
  <c r="RRT50" i="40"/>
  <c r="RQN50" i="40"/>
  <c r="RPH50" i="40"/>
  <c r="ROB50" i="40"/>
  <c r="RMV50" i="40"/>
  <c r="RLP50" i="40"/>
  <c r="RKJ50" i="40"/>
  <c r="RJD50" i="40"/>
  <c r="RHX50" i="40"/>
  <c r="RGR50" i="40"/>
  <c r="RFL50" i="40"/>
  <c r="REF50" i="40"/>
  <c r="RCZ50" i="40"/>
  <c r="RBT50" i="40"/>
  <c r="RAN50" i="40"/>
  <c r="QZH50" i="40"/>
  <c r="QYB50" i="40"/>
  <c r="QWV50" i="40"/>
  <c r="QVP50" i="40"/>
  <c r="QUJ50" i="40"/>
  <c r="QTD50" i="40"/>
  <c r="QRX50" i="40"/>
  <c r="QQR50" i="40"/>
  <c r="QPL50" i="40"/>
  <c r="QOF50" i="40"/>
  <c r="QMZ50" i="40"/>
  <c r="QLT50" i="40"/>
  <c r="QKN50" i="40"/>
  <c r="QJH50" i="40"/>
  <c r="QIB50" i="40"/>
  <c r="QGV50" i="40"/>
  <c r="QFP50" i="40"/>
  <c r="QEJ50" i="40"/>
  <c r="QDD50" i="40"/>
  <c r="QBX50" i="40"/>
  <c r="QAR50" i="40"/>
  <c r="PZL50" i="40"/>
  <c r="PYF50" i="40"/>
  <c r="PWZ50" i="40"/>
  <c r="PVT50" i="40"/>
  <c r="PUN50" i="40"/>
  <c r="PTH50" i="40"/>
  <c r="PSB50" i="40"/>
  <c r="PQV50" i="40"/>
  <c r="PPP50" i="40"/>
  <c r="POJ50" i="40"/>
  <c r="PND50" i="40"/>
  <c r="PLX50" i="40"/>
  <c r="PKR50" i="40"/>
  <c r="PJL50" i="40"/>
  <c r="PIF50" i="40"/>
  <c r="PGZ50" i="40"/>
  <c r="PFT50" i="40"/>
  <c r="PEN50" i="40"/>
  <c r="PDH50" i="40"/>
  <c r="PCB50" i="40"/>
  <c r="PAV50" i="40"/>
  <c r="OZP50" i="40"/>
  <c r="OYJ50" i="40"/>
  <c r="OXD50" i="40"/>
  <c r="OVX50" i="40"/>
  <c r="OUR50" i="40"/>
  <c r="OTL50" i="40"/>
  <c r="OSF50" i="40"/>
  <c r="OQZ50" i="40"/>
  <c r="OPT50" i="40"/>
  <c r="OON50" i="40"/>
  <c r="ONH50" i="40"/>
  <c r="OMB50" i="40"/>
  <c r="OKV50" i="40"/>
  <c r="OJP50" i="40"/>
  <c r="OIJ50" i="40"/>
  <c r="OHD50" i="40"/>
  <c r="OFX50" i="40"/>
  <c r="OER50" i="40"/>
  <c r="ODL50" i="40"/>
  <c r="OCF50" i="40"/>
  <c r="OAZ50" i="40"/>
  <c r="NZT50" i="40"/>
  <c r="NYN50" i="40"/>
  <c r="NXH50" i="40"/>
  <c r="NWB50" i="40"/>
  <c r="NUV50" i="40"/>
  <c r="NTP50" i="40"/>
  <c r="NSJ50" i="40"/>
  <c r="NRD50" i="40"/>
  <c r="NPX50" i="40"/>
  <c r="NOR50" i="40"/>
  <c r="NNL50" i="40"/>
  <c r="NMF50" i="40"/>
  <c r="NKZ50" i="40"/>
  <c r="NJT50" i="40"/>
  <c r="NIN50" i="40"/>
  <c r="NHH50" i="40"/>
  <c r="NGB50" i="40"/>
  <c r="NEV50" i="40"/>
  <c r="NDP50" i="40"/>
  <c r="NCJ50" i="40"/>
  <c r="NBD50" i="40"/>
  <c r="MZX50" i="40"/>
  <c r="MYR50" i="40"/>
  <c r="MXL50" i="40"/>
  <c r="MWF50" i="40"/>
  <c r="MUZ50" i="40"/>
  <c r="MTT50" i="40"/>
  <c r="MSN50" i="40"/>
  <c r="MRH50" i="40"/>
  <c r="MQB50" i="40"/>
  <c r="MOV50" i="40"/>
  <c r="MNP50" i="40"/>
  <c r="MMJ50" i="40"/>
  <c r="MLD50" i="40"/>
  <c r="MJX50" i="40"/>
  <c r="MIR50" i="40"/>
  <c r="MHL50" i="40"/>
  <c r="MGF50" i="40"/>
  <c r="MEZ50" i="40"/>
  <c r="MDT50" i="40"/>
  <c r="MCN50" i="40"/>
  <c r="MBH50" i="40"/>
  <c r="MAB50" i="40"/>
  <c r="LYV50" i="40"/>
  <c r="LXP50" i="40"/>
  <c r="LWJ50" i="40"/>
  <c r="LVD50" i="40"/>
  <c r="LTX50" i="40"/>
  <c r="LSR50" i="40"/>
  <c r="LRL50" i="40"/>
  <c r="LQF50" i="40"/>
  <c r="LOZ50" i="40"/>
  <c r="LNT50" i="40"/>
  <c r="LMN50" i="40"/>
  <c r="LLH50" i="40"/>
  <c r="LKB50" i="40"/>
  <c r="LIV50" i="40"/>
  <c r="LHP50" i="40"/>
  <c r="LGJ50" i="40"/>
  <c r="LFD50" i="40"/>
  <c r="LDX50" i="40"/>
  <c r="LCR50" i="40"/>
  <c r="LBL50" i="40"/>
  <c r="LAF50" i="40"/>
  <c r="KYZ50" i="40"/>
  <c r="KXT50" i="40"/>
  <c r="KWN50" i="40"/>
  <c r="KVH50" i="40"/>
  <c r="KUB50" i="40"/>
  <c r="KSV50" i="40"/>
  <c r="KRP50" i="40"/>
  <c r="KQJ50" i="40"/>
  <c r="KPD50" i="40"/>
  <c r="KNX50" i="40"/>
  <c r="KMR50" i="40"/>
  <c r="KLL50" i="40"/>
  <c r="KKF50" i="40"/>
  <c r="KIZ50" i="40"/>
  <c r="KHT50" i="40"/>
  <c r="KGN50" i="40"/>
  <c r="KFH50" i="40"/>
  <c r="KEB50" i="40"/>
  <c r="KCV50" i="40"/>
  <c r="KBP50" i="40"/>
  <c r="KAJ50" i="40"/>
  <c r="JZD50" i="40"/>
  <c r="JXX50" i="40"/>
  <c r="JWR50" i="40"/>
  <c r="JVL50" i="40"/>
  <c r="JUF50" i="40"/>
  <c r="JSZ50" i="40"/>
  <c r="JRT50" i="40"/>
  <c r="JQN50" i="40"/>
  <c r="JPH50" i="40"/>
  <c r="JOB50" i="40"/>
  <c r="JMV50" i="40"/>
  <c r="JLP50" i="40"/>
  <c r="JKJ50" i="40"/>
  <c r="JJD50" i="40"/>
  <c r="JHX50" i="40"/>
  <c r="JGR50" i="40"/>
  <c r="JFL50" i="40"/>
  <c r="JEF50" i="40"/>
  <c r="JCZ50" i="40"/>
  <c r="JBT50" i="40"/>
  <c r="JAN50" i="40"/>
  <c r="IZH50" i="40"/>
  <c r="IYB50" i="40"/>
  <c r="IWV50" i="40"/>
  <c r="IVP50" i="40"/>
  <c r="IUJ50" i="40"/>
  <c r="ITD50" i="40"/>
  <c r="IRX50" i="40"/>
  <c r="IQR50" i="40"/>
  <c r="IPL50" i="40"/>
  <c r="IOF50" i="40"/>
  <c r="IMZ50" i="40"/>
  <c r="ILT50" i="40"/>
  <c r="IKN50" i="40"/>
  <c r="IJH50" i="40"/>
  <c r="IIB50" i="40"/>
  <c r="IGV50" i="40"/>
  <c r="IFP50" i="40"/>
  <c r="IEJ50" i="40"/>
  <c r="IDD50" i="40"/>
  <c r="IBX50" i="40"/>
  <c r="IAR50" i="40"/>
  <c r="HZL50" i="40"/>
  <c r="HYF50" i="40"/>
  <c r="HWZ50" i="40"/>
  <c r="HVT50" i="40"/>
  <c r="HUN50" i="40"/>
  <c r="HTH50" i="40"/>
  <c r="HSB50" i="40"/>
  <c r="HQV50" i="40"/>
  <c r="HPP50" i="40"/>
  <c r="HOJ50" i="40"/>
  <c r="HND50" i="40"/>
  <c r="HLX50" i="40"/>
  <c r="HKR50" i="40"/>
  <c r="HJL50" i="40"/>
  <c r="HIF50" i="40"/>
  <c r="HGZ50" i="40"/>
  <c r="HFT50" i="40"/>
  <c r="HEN50" i="40"/>
  <c r="HDH50" i="40"/>
  <c r="HCB50" i="40"/>
  <c r="HAV50" i="40"/>
  <c r="GZP50" i="40"/>
  <c r="GYJ50" i="40"/>
  <c r="GXD50" i="40"/>
  <c r="GVX50" i="40"/>
  <c r="GUR50" i="40"/>
  <c r="GTL50" i="40"/>
  <c r="GSF50" i="40"/>
  <c r="GQZ50" i="40"/>
  <c r="GPT50" i="40"/>
  <c r="GON50" i="40"/>
  <c r="GNH50" i="40"/>
  <c r="GMB50" i="40"/>
  <c r="GKV50" i="40"/>
  <c r="GJP50" i="40"/>
  <c r="GIJ50" i="40"/>
  <c r="GHD50" i="40"/>
  <c r="GFX50" i="40"/>
  <c r="GER50" i="40"/>
  <c r="GDL50" i="40"/>
  <c r="GCF50" i="40"/>
  <c r="GAZ50" i="40"/>
  <c r="FZT50" i="40"/>
  <c r="FYN50" i="40"/>
  <c r="FXH50" i="40"/>
  <c r="FWB50" i="40"/>
  <c r="FUV50" i="40"/>
  <c r="FTP50" i="40"/>
  <c r="FSJ50" i="40"/>
  <c r="FRD50" i="40"/>
  <c r="FPX50" i="40"/>
  <c r="FOR50" i="40"/>
  <c r="FNL50" i="40"/>
  <c r="FMF50" i="40"/>
  <c r="FKZ50" i="40"/>
  <c r="FJT50" i="40"/>
  <c r="FIN50" i="40"/>
  <c r="FHH50" i="40"/>
  <c r="FGB50" i="40"/>
  <c r="FEV50" i="40"/>
  <c r="FDP50" i="40"/>
  <c r="FCJ50" i="40"/>
  <c r="FBD50" i="40"/>
  <c r="EZX50" i="40"/>
  <c r="EYR50" i="40"/>
  <c r="EXL50" i="40"/>
  <c r="EWF50" i="40"/>
  <c r="EUZ50" i="40"/>
  <c r="ETT50" i="40"/>
  <c r="ESN50" i="40"/>
  <c r="ERH50" i="40"/>
  <c r="EQB50" i="40"/>
  <c r="EOV50" i="40"/>
  <c r="ENP50" i="40"/>
  <c r="EMJ50" i="40"/>
  <c r="ELD50" i="40"/>
  <c r="EJX50" i="40"/>
  <c r="EIR50" i="40"/>
  <c r="EHL50" i="40"/>
  <c r="EGF50" i="40"/>
  <c r="EEZ50" i="40"/>
  <c r="EDT50" i="40"/>
  <c r="ECN50" i="40"/>
  <c r="EBH50" i="40"/>
  <c r="EAB50" i="40"/>
  <c r="DYV50" i="40"/>
  <c r="DXP50" i="40"/>
  <c r="DWJ50" i="40"/>
  <c r="DVD50" i="40"/>
  <c r="DTX50" i="40"/>
  <c r="DSR50" i="40"/>
  <c r="DRL50" i="40"/>
  <c r="DQF50" i="40"/>
  <c r="DOZ50" i="40"/>
  <c r="DNT50" i="40"/>
  <c r="DMN50" i="40"/>
  <c r="DLH50" i="40"/>
  <c r="DKB50" i="40"/>
  <c r="DIV50" i="40"/>
  <c r="DHP50" i="40"/>
  <c r="DGJ50" i="40"/>
  <c r="DFD50" i="40"/>
  <c r="DDX50" i="40"/>
  <c r="DCR50" i="40"/>
  <c r="DBL50" i="40"/>
  <c r="DAF50" i="40"/>
  <c r="CYZ50" i="40"/>
  <c r="CXT50" i="40"/>
  <c r="CWN50" i="40"/>
  <c r="CVH50" i="40"/>
  <c r="CUB50" i="40"/>
  <c r="CSV50" i="40"/>
  <c r="CRP50" i="40"/>
  <c r="CQJ50" i="40"/>
  <c r="CPD50" i="40"/>
  <c r="CNX50" i="40"/>
  <c r="CMR50" i="40"/>
  <c r="CLL50" i="40"/>
  <c r="CKF50" i="40"/>
  <c r="CIZ50" i="40"/>
  <c r="CHT50" i="40"/>
  <c r="CGN50" i="40"/>
  <c r="CFH50" i="40"/>
  <c r="CEB50" i="40"/>
  <c r="CCV50" i="40"/>
  <c r="CBP50" i="40"/>
  <c r="CAJ50" i="40"/>
  <c r="BZD50" i="40"/>
  <c r="BXX50" i="40"/>
  <c r="BWR50" i="40"/>
  <c r="BVL50" i="40"/>
  <c r="BUF50" i="40"/>
  <c r="BSZ50" i="40"/>
  <c r="BRT50" i="40"/>
  <c r="BQN50" i="40"/>
  <c r="BPH50" i="40"/>
  <c r="BOB50" i="40"/>
  <c r="BMV50" i="40"/>
  <c r="BLP50" i="40"/>
  <c r="BKJ50" i="40"/>
  <c r="BJD50" i="40"/>
  <c r="BHX50" i="40"/>
  <c r="BGR50" i="40"/>
  <c r="BFL50" i="40"/>
  <c r="BEF50" i="40"/>
  <c r="BCZ50" i="40"/>
  <c r="BBT50" i="40"/>
  <c r="BAN50" i="40"/>
  <c r="AZH50" i="40"/>
  <c r="AYB50" i="40"/>
  <c r="AWV50" i="40"/>
  <c r="AVP50" i="40"/>
  <c r="AUJ50" i="40"/>
  <c r="ATD50" i="40"/>
  <c r="ARX50" i="40"/>
  <c r="AQR50" i="40"/>
  <c r="APL50" i="40"/>
  <c r="AOF50" i="40"/>
  <c r="AMZ50" i="40"/>
  <c r="ALT50" i="40"/>
  <c r="AKN50" i="40"/>
  <c r="AJH50" i="40"/>
  <c r="AIB50" i="40"/>
  <c r="AGV50" i="40"/>
  <c r="AFP50" i="40"/>
  <c r="AEJ50" i="40"/>
  <c r="ADD50" i="40"/>
  <c r="ABX50" i="40"/>
  <c r="AAR50" i="40"/>
  <c r="ZL50" i="40"/>
  <c r="YF50" i="40"/>
  <c r="WZ50" i="40"/>
  <c r="VT50" i="40"/>
  <c r="UN50" i="40"/>
  <c r="TH50" i="40"/>
  <c r="SB50" i="40"/>
  <c r="QV50" i="40"/>
  <c r="PP50" i="40"/>
  <c r="OJ50" i="40"/>
  <c r="ND50" i="40"/>
  <c r="LX50" i="40"/>
  <c r="KR50" i="40"/>
  <c r="JL50" i="40"/>
  <c r="IF50" i="40"/>
  <c r="GZ50" i="40"/>
  <c r="FT50" i="40"/>
  <c r="EN50" i="40"/>
  <c r="DH50" i="40"/>
  <c r="CB50" i="40"/>
  <c r="AV50" i="40"/>
  <c r="M68" i="46"/>
  <c r="M58" i="46"/>
  <c r="M62" i="46"/>
  <c r="M64" i="46"/>
  <c r="M66" i="46"/>
  <c r="M70" i="46"/>
  <c r="E68" i="46"/>
  <c r="F68" i="46"/>
  <c r="G68" i="46"/>
  <c r="I68" i="46"/>
  <c r="J68" i="46"/>
  <c r="K68" i="46"/>
  <c r="N68" i="46"/>
  <c r="O68" i="46"/>
  <c r="O58" i="46"/>
  <c r="O62" i="46"/>
  <c r="O64" i="46"/>
  <c r="O66" i="46"/>
  <c r="O70" i="46"/>
  <c r="H67" i="46"/>
  <c r="D67" i="46"/>
  <c r="E67" i="46"/>
  <c r="G67" i="46"/>
  <c r="I67" i="46"/>
  <c r="J67" i="46"/>
  <c r="L57" i="46"/>
  <c r="L59" i="46"/>
  <c r="L61" i="46"/>
  <c r="L63" i="46"/>
  <c r="L65" i="46"/>
  <c r="L69" i="46"/>
  <c r="M67" i="46"/>
  <c r="N67" i="46"/>
  <c r="O67" i="46"/>
  <c r="L66" i="46"/>
  <c r="E66" i="46"/>
  <c r="E58" i="46"/>
  <c r="E60" i="46"/>
  <c r="E62" i="46"/>
  <c r="E64" i="46"/>
  <c r="E70" i="46"/>
  <c r="I66" i="46"/>
  <c r="N66" i="46"/>
  <c r="N70" i="46"/>
  <c r="M69" i="46"/>
  <c r="K69" i="46"/>
  <c r="L70" i="46"/>
  <c r="K70" i="46"/>
  <c r="H66" i="40"/>
  <c r="N65" i="40"/>
  <c r="N57" i="40"/>
  <c r="N63" i="40"/>
  <c r="N67" i="40"/>
  <c r="N69" i="40"/>
  <c r="N61" i="40"/>
  <c r="J65" i="40"/>
  <c r="F65" i="40"/>
  <c r="M65" i="40"/>
  <c r="M63" i="40"/>
  <c r="M67" i="40"/>
  <c r="M69" i="40"/>
  <c r="I65" i="40"/>
  <c r="E65" i="40"/>
  <c r="D65" i="40"/>
  <c r="G65" i="40"/>
  <c r="H65" i="40"/>
  <c r="K65" i="40"/>
  <c r="L65" i="40"/>
  <c r="O65" i="40"/>
  <c r="O63" i="40"/>
  <c r="O67" i="40"/>
  <c r="O69" i="40"/>
  <c r="I66" i="40"/>
  <c r="H68" i="40"/>
  <c r="F67" i="40"/>
  <c r="L69" i="40"/>
  <c r="H69" i="40"/>
  <c r="D69" i="40"/>
  <c r="I70" i="40"/>
  <c r="K69" i="40"/>
  <c r="G69" i="40"/>
  <c r="G63" i="40"/>
  <c r="G67" i="40"/>
  <c r="H70" i="40"/>
  <c r="J69" i="40"/>
  <c r="F69" i="40"/>
  <c r="E69" i="40"/>
  <c r="I69" i="40"/>
  <c r="P30" i="46"/>
  <c r="AC24" i="46"/>
  <c r="A6" i="47"/>
  <c r="C6" i="47" s="1"/>
  <c r="AC22" i="46"/>
  <c r="P30" i="45"/>
  <c r="AC24" i="45"/>
  <c r="AC22" i="45"/>
  <c r="O22" i="42"/>
  <c r="F60" i="46"/>
  <c r="D59" i="46"/>
  <c r="H60" i="46"/>
  <c r="N59" i="46"/>
  <c r="N74" i="46" s="1"/>
  <c r="F59" i="46"/>
  <c r="G60" i="46"/>
  <c r="J60" i="46"/>
  <c r="G64" i="46"/>
  <c r="I63" i="46"/>
  <c r="D64" i="46"/>
  <c r="J64" i="46"/>
  <c r="D63" i="46"/>
  <c r="J63" i="46"/>
  <c r="I64" i="46"/>
  <c r="O63" i="46"/>
  <c r="G63" i="46"/>
  <c r="N63" i="46"/>
  <c r="L58" i="46"/>
  <c r="L60" i="46"/>
  <c r="L64" i="46"/>
  <c r="N57" i="46"/>
  <c r="G58" i="46"/>
  <c r="I57" i="46"/>
  <c r="F58" i="46"/>
  <c r="H57" i="46"/>
  <c r="F62" i="46"/>
  <c r="H61" i="46"/>
  <c r="O61" i="46"/>
  <c r="G61" i="46"/>
  <c r="N61" i="46"/>
  <c r="F61" i="46"/>
  <c r="D58" i="45"/>
  <c r="F57" i="45"/>
  <c r="F59" i="45"/>
  <c r="F61" i="45"/>
  <c r="O58" i="45"/>
  <c r="K58" i="45"/>
  <c r="I57" i="45"/>
  <c r="I58" i="45"/>
  <c r="I60" i="45"/>
  <c r="E58" i="45"/>
  <c r="K57" i="45"/>
  <c r="N58" i="45"/>
  <c r="J58" i="45"/>
  <c r="L57" i="45"/>
  <c r="L59" i="45"/>
  <c r="D57" i="45"/>
  <c r="D59" i="45"/>
  <c r="M58" i="45"/>
  <c r="M60" i="45"/>
  <c r="M62" i="45"/>
  <c r="G57" i="45"/>
  <c r="G59" i="45"/>
  <c r="E60" i="45"/>
  <c r="E62" i="45"/>
  <c r="K59" i="45"/>
  <c r="H60" i="45"/>
  <c r="D60" i="45"/>
  <c r="N59" i="45"/>
  <c r="N60" i="45"/>
  <c r="N62" i="45"/>
  <c r="F60" i="45"/>
  <c r="H59" i="45"/>
  <c r="O60" i="45"/>
  <c r="K60" i="45"/>
  <c r="K62" i="45"/>
  <c r="M59" i="45"/>
  <c r="M57" i="45"/>
  <c r="M61" i="45"/>
  <c r="I59" i="45"/>
  <c r="E59" i="45"/>
  <c r="J60" i="45"/>
  <c r="P57" i="42"/>
  <c r="L81" i="42"/>
  <c r="P55" i="42"/>
  <c r="P53" i="42"/>
  <c r="F77" i="42"/>
  <c r="K77" i="42"/>
  <c r="O77" i="42"/>
  <c r="AT16" i="36"/>
  <c r="AT15" i="36"/>
  <c r="AT14" i="36"/>
  <c r="AU14" i="36" s="1"/>
  <c r="A34" i="40"/>
  <c r="A30" i="40"/>
  <c r="P49" i="42"/>
  <c r="P43" i="42"/>
  <c r="P41" i="42"/>
  <c r="P39" i="42"/>
  <c r="P30" i="42"/>
  <c r="AC24" i="40"/>
  <c r="P43" i="40"/>
  <c r="P41" i="40"/>
  <c r="P30" i="40"/>
  <c r="P28" i="1"/>
  <c r="P24" i="1"/>
  <c r="P29" i="1"/>
  <c r="P32" i="1"/>
  <c r="P34" i="1"/>
  <c r="P35" i="1"/>
  <c r="P36" i="1"/>
  <c r="P37" i="1"/>
  <c r="P38" i="1"/>
  <c r="P39" i="1"/>
  <c r="N4" i="20"/>
  <c r="N3" i="20"/>
  <c r="F8" i="20"/>
  <c r="F7" i="20"/>
  <c r="J7" i="20"/>
  <c r="J6" i="20"/>
  <c r="J5" i="20"/>
  <c r="J4" i="20"/>
  <c r="J3" i="20"/>
  <c r="F6" i="20"/>
  <c r="F5" i="20"/>
  <c r="F4" i="20"/>
  <c r="F3" i="20"/>
  <c r="P33" i="1"/>
  <c r="M63" i="42"/>
  <c r="O63" i="42"/>
  <c r="I63" i="42"/>
  <c r="I67" i="42"/>
  <c r="I73" i="42"/>
  <c r="I75" i="42"/>
  <c r="I79" i="42"/>
  <c r="I81" i="42"/>
  <c r="D63" i="42"/>
  <c r="E63" i="42"/>
  <c r="F63" i="42"/>
  <c r="G63" i="42"/>
  <c r="H63" i="42"/>
  <c r="J63" i="42"/>
  <c r="K63" i="42"/>
  <c r="L63" i="42"/>
  <c r="L65" i="42"/>
  <c r="L67" i="42"/>
  <c r="L73" i="42"/>
  <c r="L75" i="42"/>
  <c r="L79" i="42"/>
  <c r="N63" i="42"/>
  <c r="F63" i="40"/>
  <c r="I63" i="40"/>
  <c r="E63" i="40"/>
  <c r="H63" i="40"/>
  <c r="D63" i="40"/>
  <c r="I64" i="40"/>
  <c r="K63" i="40"/>
  <c r="H64" i="40"/>
  <c r="F79" i="42"/>
  <c r="E73" i="42"/>
  <c r="K73" i="42"/>
  <c r="D57" i="46"/>
  <c r="H58" i="46"/>
  <c r="K58" i="46"/>
  <c r="M57" i="46"/>
  <c r="O57" i="46"/>
  <c r="O59" i="46"/>
  <c r="O69" i="46"/>
  <c r="J58" i="46"/>
  <c r="J70" i="46"/>
  <c r="I58" i="46"/>
  <c r="I60" i="46"/>
  <c r="I62" i="46"/>
  <c r="I70" i="46"/>
  <c r="G59" i="46"/>
  <c r="D60" i="46"/>
  <c r="J59" i="46"/>
  <c r="J57" i="46"/>
  <c r="J61" i="46"/>
  <c r="J65" i="46"/>
  <c r="J69" i="46"/>
  <c r="N60" i="46"/>
  <c r="K60" i="46"/>
  <c r="M59" i="46"/>
  <c r="E59" i="46"/>
  <c r="H59" i="46"/>
  <c r="I59" i="46"/>
  <c r="K59" i="46"/>
  <c r="K61" i="46"/>
  <c r="K64" i="46"/>
  <c r="K66" i="46"/>
  <c r="M63" i="46"/>
  <c r="E63" i="46"/>
  <c r="F63" i="46"/>
  <c r="H63" i="46"/>
  <c r="K63" i="46"/>
  <c r="N64" i="46"/>
  <c r="F64" i="46"/>
  <c r="H64" i="46"/>
  <c r="K57" i="46"/>
  <c r="K65" i="46"/>
  <c r="H67" i="40"/>
  <c r="E67" i="40"/>
  <c r="A7" i="47"/>
  <c r="C7" i="47" s="1"/>
  <c r="K67" i="40"/>
  <c r="J67" i="40"/>
  <c r="I67" i="40"/>
  <c r="L67" i="40"/>
  <c r="D67" i="40"/>
  <c r="F65" i="46"/>
  <c r="G69" i="46"/>
  <c r="D69" i="46"/>
  <c r="G70" i="46"/>
  <c r="H70" i="46"/>
  <c r="N69" i="46"/>
  <c r="F62" i="45"/>
  <c r="F58" i="45"/>
  <c r="H61" i="45"/>
  <c r="K61" i="45"/>
  <c r="O62" i="45"/>
  <c r="I61" i="45"/>
  <c r="H62" i="45"/>
  <c r="N61" i="45"/>
  <c r="J8" i="47"/>
  <c r="G5" i="47"/>
  <c r="I58" i="40"/>
  <c r="D57" i="40"/>
  <c r="K63" i="44"/>
  <c r="F61" i="43"/>
  <c r="F57" i="43"/>
  <c r="F63" i="43"/>
  <c r="G62" i="43"/>
  <c r="F61" i="44"/>
  <c r="J58" i="44"/>
  <c r="H57" i="44"/>
  <c r="H58" i="44"/>
  <c r="J63" i="40"/>
  <c r="L63" i="40"/>
  <c r="H58" i="45"/>
  <c r="H63" i="45" s="1"/>
  <c r="H64" i="45" s="1"/>
  <c r="H35" i="45" s="1"/>
  <c r="N57" i="45"/>
  <c r="E57" i="45"/>
  <c r="H57" i="45"/>
  <c r="D73" i="42"/>
  <c r="H73" i="42"/>
  <c r="I57" i="43"/>
  <c r="G58" i="43"/>
  <c r="G65" i="43" s="1"/>
  <c r="G66" i="43" s="1"/>
  <c r="G35" i="43" s="1"/>
  <c r="H61" i="43"/>
  <c r="H63" i="43"/>
  <c r="O24" i="45"/>
  <c r="A5" i="47" s="1"/>
  <c r="C5" i="47" s="1"/>
  <c r="H61" i="44"/>
  <c r="E81" i="42"/>
  <c r="J81" i="42"/>
  <c r="N58" i="43"/>
  <c r="N62" i="43"/>
  <c r="I64" i="43"/>
  <c r="J65" i="42"/>
  <c r="N73" i="42"/>
  <c r="D62" i="45"/>
  <c r="E58" i="43"/>
  <c r="L57" i="43"/>
  <c r="N57" i="43"/>
  <c r="N58" i="48"/>
  <c r="D58" i="48"/>
  <c r="D57" i="48"/>
  <c r="N57" i="48"/>
  <c r="N66" i="48" s="1"/>
  <c r="N67" i="48" s="1"/>
  <c r="N34" i="48" s="1"/>
  <c r="F57" i="48"/>
  <c r="I57" i="48"/>
  <c r="J62" i="45"/>
  <c r="M57" i="43"/>
  <c r="O58" i="43"/>
  <c r="F58" i="48"/>
  <c r="L57" i="48"/>
  <c r="E57" i="43"/>
  <c r="D57" i="43"/>
  <c r="O57" i="43"/>
  <c r="K58" i="43"/>
  <c r="K58" i="48"/>
  <c r="I58" i="48"/>
  <c r="O57" i="48"/>
  <c r="O60" i="48"/>
  <c r="J60" i="48"/>
  <c r="E60" i="48"/>
  <c r="K57" i="48"/>
  <c r="K61" i="48"/>
  <c r="K66" i="48"/>
  <c r="K67" i="48" s="1"/>
  <c r="K34" i="48" s="1"/>
  <c r="F73" i="42"/>
  <c r="G73" i="42"/>
  <c r="J64" i="44"/>
  <c r="L61" i="44"/>
  <c r="E64" i="44"/>
  <c r="J61" i="44"/>
  <c r="G3" i="47"/>
  <c r="L62" i="43"/>
  <c r="L58" i="43"/>
  <c r="L64" i="43"/>
  <c r="G60" i="48"/>
  <c r="O73" i="42"/>
  <c r="M63" i="43"/>
  <c r="J73" i="42"/>
  <c r="E61" i="44"/>
  <c r="K61" i="44"/>
  <c r="G7" i="47"/>
  <c r="G4" i="47"/>
  <c r="M73" i="42"/>
  <c r="G8" i="47"/>
  <c r="D62" i="44"/>
  <c r="G62" i="44"/>
  <c r="K60" i="48"/>
  <c r="F60" i="48"/>
  <c r="K58" i="44"/>
  <c r="G63" i="43"/>
  <c r="H64" i="43"/>
  <c r="K63" i="43"/>
  <c r="D64" i="43"/>
  <c r="O64" i="43"/>
  <c r="N63" i="43"/>
  <c r="K64" i="43"/>
  <c r="L63" i="43"/>
  <c r="E64" i="43"/>
  <c r="E63" i="43"/>
  <c r="O63" i="43"/>
  <c r="H59" i="40"/>
  <c r="J60" i="40"/>
  <c r="M59" i="40"/>
  <c r="J63" i="43"/>
  <c r="O57" i="44"/>
  <c r="N57" i="44"/>
  <c r="L59" i="40"/>
  <c r="D65" i="42"/>
  <c r="O67" i="42"/>
  <c r="O75" i="42"/>
  <c r="O79" i="42"/>
  <c r="O81" i="42"/>
  <c r="F81" i="42"/>
  <c r="H81" i="42"/>
  <c r="D81" i="42"/>
  <c r="G81" i="42"/>
  <c r="K81" i="42"/>
  <c r="M81" i="42"/>
  <c r="N81" i="42"/>
  <c r="N67" i="42"/>
  <c r="N75" i="42"/>
  <c r="N79" i="42"/>
  <c r="F57" i="46"/>
  <c r="E57" i="46"/>
  <c r="G57" i="46"/>
  <c r="D58" i="46"/>
  <c r="N58" i="46"/>
  <c r="N71" i="46" s="1"/>
  <c r="N72" i="46" s="1"/>
  <c r="N35" i="46" s="1"/>
  <c r="N62" i="46"/>
  <c r="L62" i="46"/>
  <c r="E61" i="46"/>
  <c r="I61" i="46"/>
  <c r="G62" i="46"/>
  <c r="G66" i="46"/>
  <c r="J62" i="46"/>
  <c r="D62" i="46"/>
  <c r="M61" i="46"/>
  <c r="K62" i="46"/>
  <c r="H62" i="46"/>
  <c r="D61" i="46"/>
  <c r="D65" i="46"/>
  <c r="E65" i="46"/>
  <c r="G65" i="46"/>
  <c r="H65" i="46"/>
  <c r="I65" i="46"/>
  <c r="M65" i="46"/>
  <c r="N65" i="46"/>
  <c r="O65" i="46"/>
  <c r="D66" i="46"/>
  <c r="F66" i="46"/>
  <c r="H66" i="46"/>
  <c r="J66" i="46"/>
  <c r="F70" i="46"/>
  <c r="D70" i="46"/>
  <c r="E69" i="46"/>
  <c r="F69" i="46"/>
  <c r="H69" i="46"/>
  <c r="I69" i="46"/>
  <c r="J58" i="43"/>
  <c r="AU13" i="36"/>
  <c r="D57" i="44"/>
  <c r="O58" i="44"/>
  <c r="J57" i="44"/>
  <c r="G58" i="44"/>
  <c r="K57" i="44"/>
  <c r="E58" i="44"/>
  <c r="I58" i="44"/>
  <c r="F57" i="44"/>
  <c r="L58" i="44"/>
  <c r="E57" i="44"/>
  <c r="P57" i="44" s="1"/>
  <c r="L57" i="44"/>
  <c r="D58" i="44"/>
  <c r="G57" i="44"/>
  <c r="I63" i="43"/>
  <c r="J64" i="43"/>
  <c r="G64" i="43"/>
  <c r="M57" i="44"/>
  <c r="N58" i="44"/>
  <c r="I57" i="44"/>
  <c r="I61" i="44"/>
  <c r="I59" i="44"/>
  <c r="L60" i="48"/>
  <c r="H60" i="48"/>
  <c r="D60" i="48"/>
  <c r="G59" i="44"/>
  <c r="G60" i="43"/>
  <c r="O60" i="43"/>
  <c r="O59" i="43"/>
  <c r="G57" i="48"/>
  <c r="M57" i="48"/>
  <c r="L58" i="48"/>
  <c r="H57" i="48"/>
  <c r="G58" i="48"/>
  <c r="E57" i="48"/>
  <c r="E66" i="48" s="1"/>
  <c r="E67" i="48" s="1"/>
  <c r="E34" i="48" s="1"/>
  <c r="J57" i="48"/>
  <c r="O58" i="48"/>
  <c r="E58" i="48"/>
  <c r="J58" i="48"/>
  <c r="H58" i="48"/>
  <c r="J75" i="42"/>
  <c r="D75" i="42"/>
  <c r="H75" i="42"/>
  <c r="G75" i="42"/>
  <c r="F75" i="42"/>
  <c r="F67" i="42"/>
  <c r="E75" i="42"/>
  <c r="M75" i="42"/>
  <c r="K75" i="42"/>
  <c r="D59" i="43"/>
  <c r="D61" i="43"/>
  <c r="D63" i="43"/>
  <c r="O24" i="48"/>
  <c r="E62" i="48"/>
  <c r="D58" i="40"/>
  <c r="G58" i="40"/>
  <c r="J58" i="40"/>
  <c r="M57" i="40"/>
  <c r="M61" i="40"/>
  <c r="E57" i="40"/>
  <c r="F57" i="40"/>
  <c r="G57" i="40"/>
  <c r="H57" i="40"/>
  <c r="I57" i="40"/>
  <c r="J57" i="40"/>
  <c r="K57" i="40"/>
  <c r="L57" i="40"/>
  <c r="O57" i="40"/>
  <c r="F58" i="40"/>
  <c r="O58" i="40"/>
  <c r="L61" i="40"/>
  <c r="E58" i="40"/>
  <c r="M58" i="40"/>
  <c r="N58" i="40"/>
  <c r="N62" i="40"/>
  <c r="F61" i="40"/>
  <c r="H58" i="40"/>
  <c r="H62" i="40"/>
  <c r="P62" i="40" s="1"/>
  <c r="D62" i="40"/>
  <c r="E62" i="40"/>
  <c r="M62" i="40"/>
  <c r="O61" i="40"/>
  <c r="K61" i="40"/>
  <c r="J61" i="40"/>
  <c r="K62" i="40"/>
  <c r="L62" i="40"/>
  <c r="I62" i="40"/>
  <c r="D61" i="40"/>
  <c r="G62" i="40"/>
  <c r="J62" i="40"/>
  <c r="I61" i="40"/>
  <c r="H61" i="40"/>
  <c r="H58" i="43"/>
  <c r="I58" i="43"/>
  <c r="G67" i="42"/>
  <c r="E67" i="42"/>
  <c r="D67" i="42"/>
  <c r="H67" i="42"/>
  <c r="J67" i="42"/>
  <c r="K67" i="42"/>
  <c r="M67" i="42"/>
  <c r="O25" i="48"/>
  <c r="K62" i="43"/>
  <c r="F61" i="48"/>
  <c r="F66" i="48"/>
  <c r="F67" i="48" s="1"/>
  <c r="F34" i="48" s="1"/>
  <c r="O25" i="44"/>
  <c r="D61" i="48"/>
  <c r="H62" i="48"/>
  <c r="I62" i="48"/>
  <c r="G61" i="48"/>
  <c r="H61" i="48"/>
  <c r="E61" i="48"/>
  <c r="O61" i="48"/>
  <c r="K62" i="48"/>
  <c r="L61" i="48"/>
  <c r="D62" i="48"/>
  <c r="I61" i="48"/>
  <c r="M61" i="48"/>
  <c r="J61" i="48"/>
  <c r="N61" i="48"/>
  <c r="L62" i="48"/>
  <c r="J62" i="48"/>
  <c r="O62" i="48"/>
  <c r="G62" i="48"/>
  <c r="N62" i="48"/>
  <c r="F62" i="48"/>
  <c r="P25" i="45"/>
  <c r="O62" i="40"/>
  <c r="F62" i="40"/>
  <c r="G61" i="40"/>
  <c r="E61" i="40"/>
  <c r="D79" i="42"/>
  <c r="J79" i="42"/>
  <c r="M79" i="42"/>
  <c r="K79" i="42"/>
  <c r="E79" i="42"/>
  <c r="G79" i="42"/>
  <c r="N59" i="44"/>
  <c r="E59" i="44"/>
  <c r="O60" i="44"/>
  <c r="D60" i="44"/>
  <c r="K61" i="43"/>
  <c r="E61" i="43"/>
  <c r="J61" i="43"/>
  <c r="I62" i="43"/>
  <c r="O62" i="43"/>
  <c r="H62" i="43"/>
  <c r="G61" i="43"/>
  <c r="L61" i="43"/>
  <c r="E62" i="43"/>
  <c r="M61" i="43"/>
  <c r="D62" i="43"/>
  <c r="J62" i="43"/>
  <c r="O61" i="43"/>
  <c r="N61" i="43"/>
  <c r="I61" i="43"/>
  <c r="E68" i="40"/>
  <c r="F64" i="43"/>
  <c r="M64" i="43"/>
  <c r="M60" i="48"/>
  <c r="N60" i="48"/>
  <c r="O68" i="40"/>
  <c r="M68" i="40"/>
  <c r="J66" i="40"/>
  <c r="J68" i="40"/>
  <c r="F66" i="40"/>
  <c r="H79" i="42"/>
  <c r="D68" i="40"/>
  <c r="M62" i="44"/>
  <c r="K68" i="40"/>
  <c r="N62" i="44"/>
  <c r="G68" i="40"/>
  <c r="L68" i="40"/>
  <c r="M64" i="44" l="1"/>
  <c r="E65" i="43"/>
  <c r="E66" i="43" s="1"/>
  <c r="E35" i="43" s="1"/>
  <c r="K60" i="44"/>
  <c r="J60" i="44"/>
  <c r="D59" i="44"/>
  <c r="J59" i="44"/>
  <c r="M59" i="44"/>
  <c r="N59" i="43"/>
  <c r="N68" i="43" s="1"/>
  <c r="N69" i="43" s="1"/>
  <c r="N34" i="43" s="1"/>
  <c r="I59" i="43"/>
  <c r="I68" i="43" s="1"/>
  <c r="I69" i="43" s="1"/>
  <c r="I34" i="43" s="1"/>
  <c r="I60" i="43"/>
  <c r="E60" i="43"/>
  <c r="D63" i="48"/>
  <c r="D64" i="48" s="1"/>
  <c r="D35" i="48" s="1"/>
  <c r="E65" i="42"/>
  <c r="H65" i="42"/>
  <c r="I59" i="40"/>
  <c r="O60" i="40"/>
  <c r="I60" i="40"/>
  <c r="K59" i="40"/>
  <c r="G65" i="42"/>
  <c r="K65" i="42"/>
  <c r="N60" i="43"/>
  <c r="K60" i="43"/>
  <c r="K65" i="43" s="1"/>
  <c r="K66" i="43" s="1"/>
  <c r="K35" i="43" s="1"/>
  <c r="H64" i="44"/>
  <c r="F59" i="43"/>
  <c r="K64" i="44"/>
  <c r="N77" i="42"/>
  <c r="I77" i="42"/>
  <c r="E77" i="42"/>
  <c r="G59" i="40"/>
  <c r="N59" i="40"/>
  <c r="M68" i="42"/>
  <c r="K74" i="42"/>
  <c r="F78" i="42"/>
  <c r="F68" i="42"/>
  <c r="D74" i="42"/>
  <c r="P64" i="42"/>
  <c r="O25" i="42"/>
  <c r="H60" i="44"/>
  <c r="L60" i="44"/>
  <c r="I60" i="44"/>
  <c r="N60" i="44"/>
  <c r="J59" i="43"/>
  <c r="D60" i="43"/>
  <c r="E59" i="40"/>
  <c r="E74" i="40" s="1"/>
  <c r="E75" i="40" s="1"/>
  <c r="E34" i="40" s="1"/>
  <c r="M65" i="42"/>
  <c r="O59" i="44"/>
  <c r="H60" i="40"/>
  <c r="E59" i="43"/>
  <c r="E68" i="43" s="1"/>
  <c r="E69" i="43" s="1"/>
  <c r="E34" i="43" s="1"/>
  <c r="D59" i="40"/>
  <c r="P59" i="40" s="1"/>
  <c r="R59" i="40" s="1"/>
  <c r="I65" i="42"/>
  <c r="M77" i="42"/>
  <c r="H77" i="42"/>
  <c r="D77" i="42"/>
  <c r="I66" i="45"/>
  <c r="I67" i="45" s="1"/>
  <c r="I34" i="45" s="1"/>
  <c r="G71" i="46"/>
  <c r="G72" i="46" s="1"/>
  <c r="G35" i="46" s="1"/>
  <c r="P69" i="42"/>
  <c r="M65" i="43"/>
  <c r="M66" i="43" s="1"/>
  <c r="M35" i="43" s="1"/>
  <c r="M74" i="42"/>
  <c r="L68" i="42"/>
  <c r="I78" i="42"/>
  <c r="H78" i="42"/>
  <c r="H68" i="42"/>
  <c r="F74" i="42"/>
  <c r="E68" i="42"/>
  <c r="P68" i="42" s="1"/>
  <c r="O68" i="42"/>
  <c r="U23" i="45"/>
  <c r="J63" i="48"/>
  <c r="J64" i="48" s="1"/>
  <c r="J35" i="48" s="1"/>
  <c r="K86" i="42"/>
  <c r="K87" i="42" s="1"/>
  <c r="K34" i="42" s="1"/>
  <c r="K59" i="44"/>
  <c r="K68" i="44" s="1"/>
  <c r="K69" i="44" s="1"/>
  <c r="K34" i="44" s="1"/>
  <c r="L59" i="43"/>
  <c r="H60" i="43"/>
  <c r="F65" i="42"/>
  <c r="J59" i="40"/>
  <c r="M60" i="40"/>
  <c r="N60" i="40"/>
  <c r="I63" i="44"/>
  <c r="F60" i="44"/>
  <c r="G60" i="44"/>
  <c r="F59" i="44"/>
  <c r="E60" i="44"/>
  <c r="L59" i="44"/>
  <c r="P61" i="40"/>
  <c r="R61" i="40" s="1"/>
  <c r="D71" i="40"/>
  <c r="D72" i="40" s="1"/>
  <c r="J66" i="48"/>
  <c r="J67" i="48" s="1"/>
  <c r="J34" i="48" s="1"/>
  <c r="G59" i="43"/>
  <c r="M59" i="43"/>
  <c r="J60" i="43"/>
  <c r="J65" i="43" s="1"/>
  <c r="J66" i="43" s="1"/>
  <c r="J35" i="43" s="1"/>
  <c r="O65" i="42"/>
  <c r="F59" i="40"/>
  <c r="O59" i="40"/>
  <c r="L60" i="40"/>
  <c r="G60" i="40"/>
  <c r="K60" i="40"/>
  <c r="P64" i="43"/>
  <c r="K65" i="44"/>
  <c r="K66" i="44" s="1"/>
  <c r="K35" i="44" s="1"/>
  <c r="L60" i="43"/>
  <c r="D63" i="44"/>
  <c r="F60" i="40"/>
  <c r="O64" i="44"/>
  <c r="N65" i="42"/>
  <c r="K59" i="43"/>
  <c r="H59" i="44"/>
  <c r="P59" i="44" s="1"/>
  <c r="H59" i="43"/>
  <c r="J63" i="44"/>
  <c r="N64" i="44"/>
  <c r="P59" i="46"/>
  <c r="R59" i="46" s="1"/>
  <c r="P63" i="42"/>
  <c r="L77" i="42"/>
  <c r="G77" i="42"/>
  <c r="J77" i="42"/>
  <c r="J86" i="42" s="1"/>
  <c r="J87" i="42" s="1"/>
  <c r="J34" i="42" s="1"/>
  <c r="O24" i="42"/>
  <c r="A2" i="47" s="1"/>
  <c r="O24" i="40"/>
  <c r="A1" i="47" s="1"/>
  <c r="C1" i="47" s="1"/>
  <c r="J78" i="42"/>
  <c r="P62" i="43"/>
  <c r="O65" i="43"/>
  <c r="O66" i="43" s="1"/>
  <c r="O35" i="43" s="1"/>
  <c r="C2" i="47"/>
  <c r="P75" i="42"/>
  <c r="D74" i="46"/>
  <c r="D75" i="46" s="1"/>
  <c r="D34" i="46" s="1"/>
  <c r="N65" i="44"/>
  <c r="N66" i="44" s="1"/>
  <c r="N35" i="44" s="1"/>
  <c r="N63" i="48"/>
  <c r="N64" i="48" s="1"/>
  <c r="N35" i="48" s="1"/>
  <c r="G63" i="48"/>
  <c r="G64" i="48" s="1"/>
  <c r="G35" i="48" s="1"/>
  <c r="L63" i="48"/>
  <c r="L64" i="48" s="1"/>
  <c r="L35" i="48" s="1"/>
  <c r="F71" i="46"/>
  <c r="F72" i="46" s="1"/>
  <c r="F35" i="46" s="1"/>
  <c r="P73" i="42"/>
  <c r="J74" i="40"/>
  <c r="J75" i="40" s="1"/>
  <c r="J34" i="40" s="1"/>
  <c r="K66" i="45"/>
  <c r="K67" i="45" s="1"/>
  <c r="K34" i="45" s="1"/>
  <c r="O24" i="43"/>
  <c r="A3" i="47" s="1"/>
  <c r="C3" i="47" s="1"/>
  <c r="L71" i="40"/>
  <c r="L72" i="40" s="1"/>
  <c r="L35" i="40" s="1"/>
  <c r="V25" i="40"/>
  <c r="O74" i="46"/>
  <c r="O75" i="46" s="1"/>
  <c r="O34" i="46" s="1"/>
  <c r="G74" i="40"/>
  <c r="G75" i="40" s="1"/>
  <c r="G34" i="40" s="1"/>
  <c r="P57" i="46"/>
  <c r="R57" i="46" s="1"/>
  <c r="M68" i="43"/>
  <c r="M69" i="43" s="1"/>
  <c r="M34" i="43" s="1"/>
  <c r="P61" i="48"/>
  <c r="R61" i="48" s="1"/>
  <c r="P61" i="46"/>
  <c r="R61" i="46" s="1"/>
  <c r="P67" i="42"/>
  <c r="J63" i="45"/>
  <c r="J64" i="45" s="1"/>
  <c r="J35" i="45" s="1"/>
  <c r="D63" i="45"/>
  <c r="D64" i="45" s="1"/>
  <c r="D35" i="45" s="1"/>
  <c r="G64" i="44"/>
  <c r="G65" i="44" s="1"/>
  <c r="G66" i="44" s="1"/>
  <c r="G35" i="44" s="1"/>
  <c r="O63" i="44"/>
  <c r="J71" i="40"/>
  <c r="J72" i="40" s="1"/>
  <c r="J35" i="40" s="1"/>
  <c r="M63" i="48"/>
  <c r="M64" i="48" s="1"/>
  <c r="M35" i="48" s="1"/>
  <c r="O25" i="43"/>
  <c r="P60" i="44"/>
  <c r="F63" i="48"/>
  <c r="F64" i="48" s="1"/>
  <c r="F35" i="48" s="1"/>
  <c r="C22" i="46"/>
  <c r="O22" i="46" s="1"/>
  <c r="L68" i="43"/>
  <c r="L69" i="43" s="1"/>
  <c r="L34" i="43" s="1"/>
  <c r="J68" i="43"/>
  <c r="J69" i="43" s="1"/>
  <c r="J34" i="43" s="1"/>
  <c r="D65" i="43"/>
  <c r="D66" i="43" s="1"/>
  <c r="F62" i="44"/>
  <c r="O62" i="44"/>
  <c r="F64" i="44"/>
  <c r="O61" i="44"/>
  <c r="L64" i="44"/>
  <c r="L63" i="44"/>
  <c r="L68" i="44" s="1"/>
  <c r="L69" i="44" s="1"/>
  <c r="L34" i="44" s="1"/>
  <c r="G63" i="44"/>
  <c r="N65" i="43"/>
  <c r="N66" i="43" s="1"/>
  <c r="N35" i="43" s="1"/>
  <c r="I64" i="44"/>
  <c r="H63" i="44"/>
  <c r="H68" i="44" s="1"/>
  <c r="H69" i="44" s="1"/>
  <c r="H34" i="44" s="1"/>
  <c r="D61" i="44"/>
  <c r="D68" i="44" s="1"/>
  <c r="D69" i="44" s="1"/>
  <c r="D34" i="44" s="1"/>
  <c r="P64" i="46"/>
  <c r="Q64" i="46" s="1"/>
  <c r="R64" i="46" s="1"/>
  <c r="J71" i="46"/>
  <c r="J72" i="46" s="1"/>
  <c r="J35" i="46" s="1"/>
  <c r="O74" i="40"/>
  <c r="O75" i="40" s="1"/>
  <c r="O34" i="40" s="1"/>
  <c r="P62" i="46"/>
  <c r="Q62" i="46" s="1"/>
  <c r="R62" i="46" s="1"/>
  <c r="N61" i="44"/>
  <c r="N63" i="44"/>
  <c r="K57" i="43"/>
  <c r="K68" i="43" s="1"/>
  <c r="K69" i="43" s="1"/>
  <c r="K34" i="43" s="1"/>
  <c r="G57" i="43"/>
  <c r="G68" i="43" s="1"/>
  <c r="G69" i="43" s="1"/>
  <c r="G34" i="43" s="1"/>
  <c r="P25" i="48"/>
  <c r="K78" i="42"/>
  <c r="J66" i="42"/>
  <c r="O78" i="42"/>
  <c r="E60" i="40"/>
  <c r="P60" i="40" s="1"/>
  <c r="L78" i="42"/>
  <c r="G78" i="42"/>
  <c r="D78" i="42"/>
  <c r="P74" i="42"/>
  <c r="V25" i="44"/>
  <c r="E62" i="44"/>
  <c r="E65" i="44" s="1"/>
  <c r="E66" i="44" s="1"/>
  <c r="E35" i="44" s="1"/>
  <c r="O68" i="43"/>
  <c r="O69" i="43" s="1"/>
  <c r="O34" i="43" s="1"/>
  <c r="I65" i="43"/>
  <c r="I66" i="43" s="1"/>
  <c r="I35" i="43" s="1"/>
  <c r="P58" i="40"/>
  <c r="Q58" i="40" s="1"/>
  <c r="P59" i="43"/>
  <c r="I68" i="44"/>
  <c r="I69" i="44" s="1"/>
  <c r="I34" i="44" s="1"/>
  <c r="I62" i="44"/>
  <c r="I65" i="44" s="1"/>
  <c r="I66" i="44" s="1"/>
  <c r="I35" i="44" s="1"/>
  <c r="H62" i="44"/>
  <c r="H65" i="44" s="1"/>
  <c r="H66" i="44" s="1"/>
  <c r="H35" i="44" s="1"/>
  <c r="D64" i="44"/>
  <c r="D65" i="44" s="1"/>
  <c r="D66" i="44" s="1"/>
  <c r="D35" i="44" s="1"/>
  <c r="L65" i="43"/>
  <c r="L66" i="43" s="1"/>
  <c r="L35" i="43" s="1"/>
  <c r="M61" i="44"/>
  <c r="M68" i="44" s="1"/>
  <c r="M69" i="44" s="1"/>
  <c r="M34" i="44" s="1"/>
  <c r="L62" i="44"/>
  <c r="L65" i="44" s="1"/>
  <c r="L66" i="44" s="1"/>
  <c r="L35" i="44" s="1"/>
  <c r="E63" i="44"/>
  <c r="P63" i="44" s="1"/>
  <c r="F63" i="44"/>
  <c r="F68" i="44" s="1"/>
  <c r="F69" i="44" s="1"/>
  <c r="F34" i="44" s="1"/>
  <c r="H66" i="45"/>
  <c r="H67" i="45" s="1"/>
  <c r="H34" i="45" s="1"/>
  <c r="J62" i="44"/>
  <c r="J65" i="44" s="1"/>
  <c r="J66" i="44" s="1"/>
  <c r="J35" i="44" s="1"/>
  <c r="P63" i="43"/>
  <c r="G61" i="44"/>
  <c r="O63" i="45"/>
  <c r="O64" i="45" s="1"/>
  <c r="O35" i="45" s="1"/>
  <c r="P60" i="45"/>
  <c r="Q60" i="45" s="1"/>
  <c r="R60" i="45" s="1"/>
  <c r="M63" i="45"/>
  <c r="M64" i="45" s="1"/>
  <c r="M35" i="45" s="1"/>
  <c r="E63" i="45"/>
  <c r="E64" i="45" s="1"/>
  <c r="E35" i="45" s="1"/>
  <c r="K63" i="45"/>
  <c r="K64" i="45" s="1"/>
  <c r="K35" i="45" s="1"/>
  <c r="J66" i="45"/>
  <c r="J67" i="45" s="1"/>
  <c r="J34" i="45" s="1"/>
  <c r="O59" i="48"/>
  <c r="O66" i="48" s="1"/>
  <c r="O67" i="48" s="1"/>
  <c r="O34" i="48" s="1"/>
  <c r="G59" i="48"/>
  <c r="G66" i="48" s="1"/>
  <c r="G67" i="48" s="1"/>
  <c r="G34" i="48" s="1"/>
  <c r="M78" i="42"/>
  <c r="E78" i="42"/>
  <c r="U23" i="40"/>
  <c r="U25" i="45"/>
  <c r="U25" i="46"/>
  <c r="V25" i="46" s="1"/>
  <c r="W25" i="46" s="1"/>
  <c r="O71" i="40"/>
  <c r="O72" i="40" s="1"/>
  <c r="O35" i="40" s="1"/>
  <c r="O63" i="48"/>
  <c r="O64" i="48" s="1"/>
  <c r="O35" i="48" s="1"/>
  <c r="O65" i="44"/>
  <c r="O66" i="44" s="1"/>
  <c r="O35" i="44" s="1"/>
  <c r="M82" i="42"/>
  <c r="L82" i="42"/>
  <c r="F82" i="42"/>
  <c r="E82" i="42"/>
  <c r="E86" i="42"/>
  <c r="E87" i="42" s="1"/>
  <c r="E34" i="42" s="1"/>
  <c r="G86" i="42"/>
  <c r="G87" i="42" s="1"/>
  <c r="G34" i="42" s="1"/>
  <c r="L86" i="42"/>
  <c r="L87" i="42" s="1"/>
  <c r="L34" i="42" s="1"/>
  <c r="N75" i="46"/>
  <c r="N34" i="46" s="1"/>
  <c r="P66" i="46"/>
  <c r="Q66" i="46" s="1"/>
  <c r="R66" i="46" s="1"/>
  <c r="I71" i="46"/>
  <c r="I72" i="46" s="1"/>
  <c r="I35" i="46" s="1"/>
  <c r="H74" i="46"/>
  <c r="H75" i="46" s="1"/>
  <c r="H34" i="46" s="1"/>
  <c r="P70" i="46"/>
  <c r="I74" i="46"/>
  <c r="I75" i="46" s="1"/>
  <c r="I34" i="46" s="1"/>
  <c r="N63" i="45"/>
  <c r="N64" i="45" s="1"/>
  <c r="N35" i="45" s="1"/>
  <c r="P59" i="45"/>
  <c r="R59" i="45" s="1"/>
  <c r="I63" i="45"/>
  <c r="I64" i="45" s="1"/>
  <c r="I35" i="45" s="1"/>
  <c r="F66" i="45"/>
  <c r="F67" i="45" s="1"/>
  <c r="F34" i="45" s="1"/>
  <c r="M66" i="45"/>
  <c r="M67" i="45" s="1"/>
  <c r="M34" i="45" s="1"/>
  <c r="P64" i="40"/>
  <c r="I74" i="40"/>
  <c r="I75" i="40" s="1"/>
  <c r="I34" i="40" s="1"/>
  <c r="P70" i="40"/>
  <c r="Q70" i="40" s="1"/>
  <c r="R70" i="40" s="1"/>
  <c r="I71" i="40"/>
  <c r="I72" i="40" s="1"/>
  <c r="I35" i="40" s="1"/>
  <c r="M74" i="40"/>
  <c r="M75" i="40" s="1"/>
  <c r="M34" i="40" s="1"/>
  <c r="P67" i="40"/>
  <c r="R67" i="40" s="1"/>
  <c r="L74" i="40"/>
  <c r="L75" i="40" s="1"/>
  <c r="L34" i="40" s="1"/>
  <c r="H74" i="40"/>
  <c r="H75" i="40" s="1"/>
  <c r="H34" i="40" s="1"/>
  <c r="Q62" i="40"/>
  <c r="R62" i="40" s="1"/>
  <c r="P79" i="42"/>
  <c r="P62" i="48"/>
  <c r="H86" i="42"/>
  <c r="H87" i="42" s="1"/>
  <c r="H34" i="42" s="1"/>
  <c r="E68" i="44"/>
  <c r="E69" i="44" s="1"/>
  <c r="E34" i="44" s="1"/>
  <c r="P69" i="46"/>
  <c r="R69" i="46" s="1"/>
  <c r="P65" i="42"/>
  <c r="D35" i="40"/>
  <c r="R58" i="40"/>
  <c r="E74" i="46"/>
  <c r="J74" i="46"/>
  <c r="J75" i="46" s="1"/>
  <c r="J34" i="46" s="1"/>
  <c r="N74" i="40"/>
  <c r="N75" i="40" s="1"/>
  <c r="N34" i="40" s="1"/>
  <c r="K71" i="40"/>
  <c r="K72" i="40" s="1"/>
  <c r="K35" i="40" s="1"/>
  <c r="P62" i="44"/>
  <c r="P77" i="42"/>
  <c r="D86" i="42"/>
  <c r="K74" i="40"/>
  <c r="K75" i="40" s="1"/>
  <c r="K34" i="40" s="1"/>
  <c r="P65" i="40"/>
  <c r="R65" i="40" s="1"/>
  <c r="P58" i="43"/>
  <c r="H65" i="43"/>
  <c r="H66" i="43" s="1"/>
  <c r="H35" i="43" s="1"/>
  <c r="D35" i="43"/>
  <c r="P58" i="46"/>
  <c r="P81" i="42"/>
  <c r="P58" i="48"/>
  <c r="K63" i="48"/>
  <c r="K64" i="48" s="1"/>
  <c r="K35" i="48" s="1"/>
  <c r="P61" i="43"/>
  <c r="F63" i="45"/>
  <c r="F64" i="45" s="1"/>
  <c r="M86" i="42"/>
  <c r="M87" i="42" s="1"/>
  <c r="M34" i="42" s="1"/>
  <c r="G71" i="40"/>
  <c r="G72" i="40" s="1"/>
  <c r="G35" i="40" s="1"/>
  <c r="P57" i="48"/>
  <c r="R57" i="48" s="1"/>
  <c r="H71" i="40"/>
  <c r="H72" i="40" s="1"/>
  <c r="H35" i="40" s="1"/>
  <c r="F86" i="42"/>
  <c r="F87" i="42" s="1"/>
  <c r="F34" i="42" s="1"/>
  <c r="H63" i="48"/>
  <c r="H64" i="48" s="1"/>
  <c r="H35" i="48" s="1"/>
  <c r="O86" i="42"/>
  <c r="O87" i="42" s="1"/>
  <c r="O34" i="42" s="1"/>
  <c r="F74" i="40"/>
  <c r="F75" i="40" s="1"/>
  <c r="F34" i="40" s="1"/>
  <c r="P57" i="40"/>
  <c r="R57" i="40" s="1"/>
  <c r="D74" i="40"/>
  <c r="P63" i="40"/>
  <c r="R63" i="40" s="1"/>
  <c r="I86" i="42"/>
  <c r="I87" i="42" s="1"/>
  <c r="I34" i="42" s="1"/>
  <c r="G74" i="46"/>
  <c r="G75" i="46" s="1"/>
  <c r="G34" i="46" s="1"/>
  <c r="P63" i="46"/>
  <c r="R63" i="46" s="1"/>
  <c r="E71" i="46"/>
  <c r="E72" i="46" s="1"/>
  <c r="E35" i="46" s="1"/>
  <c r="P65" i="46"/>
  <c r="R65" i="46" s="1"/>
  <c r="N86" i="42"/>
  <c r="N87" i="42" s="1"/>
  <c r="N34" i="42" s="1"/>
  <c r="E63" i="48"/>
  <c r="E64" i="48" s="1"/>
  <c r="D68" i="43"/>
  <c r="P57" i="43"/>
  <c r="N66" i="45"/>
  <c r="N67" i="45" s="1"/>
  <c r="N34" i="45" s="1"/>
  <c r="F68" i="43"/>
  <c r="F69" i="43" s="1"/>
  <c r="F34" i="43" s="1"/>
  <c r="K71" i="46"/>
  <c r="K72" i="46" s="1"/>
  <c r="K35" i="46" s="1"/>
  <c r="H68" i="43"/>
  <c r="H69" i="43" s="1"/>
  <c r="H34" i="43" s="1"/>
  <c r="M74" i="46"/>
  <c r="M75" i="46" s="1"/>
  <c r="M34" i="46" s="1"/>
  <c r="P69" i="40"/>
  <c r="R69" i="40" s="1"/>
  <c r="G1" i="47"/>
  <c r="G6" i="47"/>
  <c r="G25" i="40"/>
  <c r="H25" i="40" s="1"/>
  <c r="P25" i="43"/>
  <c r="K80" i="42"/>
  <c r="O80" i="42"/>
  <c r="U23" i="42"/>
  <c r="V23" i="42"/>
  <c r="W23" i="42" s="1"/>
  <c r="F68" i="40"/>
  <c r="N68" i="40"/>
  <c r="N71" i="40" s="1"/>
  <c r="N72" i="40" s="1"/>
  <c r="N35" i="40" s="1"/>
  <c r="O57" i="45"/>
  <c r="O66" i="45" s="1"/>
  <c r="O67" i="45" s="1"/>
  <c r="O34" i="45" s="1"/>
  <c r="G58" i="45"/>
  <c r="L61" i="45"/>
  <c r="L66" i="45" s="1"/>
  <c r="L67" i="45" s="1"/>
  <c r="L34" i="45" s="1"/>
  <c r="G62" i="45"/>
  <c r="E61" i="45"/>
  <c r="E66" i="45" s="1"/>
  <c r="E67" i="45" s="1"/>
  <c r="E34" i="45" s="1"/>
  <c r="L62" i="45"/>
  <c r="L63" i="45" s="1"/>
  <c r="L64" i="45" s="1"/>
  <c r="L35" i="45" s="1"/>
  <c r="D61" i="45"/>
  <c r="G61" i="45"/>
  <c r="G66" i="45" s="1"/>
  <c r="G67" i="45" s="1"/>
  <c r="G34" i="45" s="1"/>
  <c r="N66" i="42"/>
  <c r="O66" i="42"/>
  <c r="G66" i="42"/>
  <c r="K66" i="42"/>
  <c r="D66" i="42"/>
  <c r="H66" i="42"/>
  <c r="L66" i="42"/>
  <c r="E66" i="42"/>
  <c r="I66" i="42"/>
  <c r="M66" i="42"/>
  <c r="V25" i="43"/>
  <c r="W25" i="43" s="1"/>
  <c r="V23" i="45"/>
  <c r="U23" i="46"/>
  <c r="V23" i="46" s="1"/>
  <c r="Y23" i="46"/>
  <c r="U23" i="48"/>
  <c r="M58" i="44"/>
  <c r="M65" i="44" s="1"/>
  <c r="M66" i="44" s="1"/>
  <c r="M35" i="44" s="1"/>
  <c r="F58" i="44"/>
  <c r="N76" i="42"/>
  <c r="F76" i="42"/>
  <c r="J76" i="42"/>
  <c r="O76" i="42"/>
  <c r="G76" i="42"/>
  <c r="K76" i="42"/>
  <c r="D76" i="42"/>
  <c r="H76" i="42"/>
  <c r="L76" i="42"/>
  <c r="V25" i="42"/>
  <c r="W23" i="45"/>
  <c r="X23" i="45" s="1"/>
  <c r="M60" i="46"/>
  <c r="O60" i="46"/>
  <c r="O71" i="46" s="1"/>
  <c r="O72" i="46" s="1"/>
  <c r="O35" i="46" s="1"/>
  <c r="D68" i="46"/>
  <c r="H68" i="46"/>
  <c r="H71" i="46" s="1"/>
  <c r="H72" i="46" s="1"/>
  <c r="H35" i="46" s="1"/>
  <c r="L68" i="46"/>
  <c r="L71" i="46" s="1"/>
  <c r="L72" i="46" s="1"/>
  <c r="L35" i="46" s="1"/>
  <c r="K67" i="46"/>
  <c r="K74" i="46" s="1"/>
  <c r="K75" i="46" s="1"/>
  <c r="K34" i="46" s="1"/>
  <c r="F67" i="46"/>
  <c r="L67" i="46"/>
  <c r="L74" i="46" s="1"/>
  <c r="L75" i="46" s="1"/>
  <c r="L34" i="46" s="1"/>
  <c r="P70" i="42"/>
  <c r="N80" i="42"/>
  <c r="D80" i="42"/>
  <c r="H80" i="42"/>
  <c r="L80" i="42"/>
  <c r="E80" i="42"/>
  <c r="I80" i="42"/>
  <c r="M80" i="42"/>
  <c r="F80" i="42"/>
  <c r="J80" i="42"/>
  <c r="S23" i="43"/>
  <c r="U23" i="43" s="1"/>
  <c r="V25" i="48"/>
  <c r="F60" i="43"/>
  <c r="M59" i="48"/>
  <c r="M66" i="48" s="1"/>
  <c r="M67" i="48" s="1"/>
  <c r="M34" i="48" s="1"/>
  <c r="I59" i="48"/>
  <c r="I66" i="48" s="1"/>
  <c r="I67" i="48" s="1"/>
  <c r="I34" i="48" s="1"/>
  <c r="D59" i="48"/>
  <c r="P25" i="42"/>
  <c r="W25" i="40"/>
  <c r="U23" i="44"/>
  <c r="W25" i="44"/>
  <c r="V25" i="45"/>
  <c r="I60" i="48"/>
  <c r="I63" i="48" s="1"/>
  <c r="I64" i="48" s="1"/>
  <c r="I35" i="48" s="1"/>
  <c r="L59" i="48"/>
  <c r="L66" i="48" s="1"/>
  <c r="L67" i="48" s="1"/>
  <c r="L34" i="48" s="1"/>
  <c r="H59" i="48"/>
  <c r="H66" i="48" s="1"/>
  <c r="H67" i="48" s="1"/>
  <c r="H34" i="48" s="1"/>
  <c r="M66" i="40"/>
  <c r="J68" i="44" l="1"/>
  <c r="J69" i="44" s="1"/>
  <c r="J34" i="44" s="1"/>
  <c r="F83" i="42"/>
  <c r="F84" i="42" s="1"/>
  <c r="F35" i="42" s="1"/>
  <c r="P82" i="42"/>
  <c r="P61" i="44"/>
  <c r="N68" i="44"/>
  <c r="N69" i="44" s="1"/>
  <c r="N34" i="44" s="1"/>
  <c r="O68" i="44"/>
  <c r="O69" i="44" s="1"/>
  <c r="O34" i="44" s="1"/>
  <c r="Q60" i="40"/>
  <c r="R60" i="40" s="1"/>
  <c r="P64" i="44"/>
  <c r="P78" i="42"/>
  <c r="G83" i="42"/>
  <c r="G84" i="42" s="1"/>
  <c r="G35" i="42" s="1"/>
  <c r="Q70" i="46"/>
  <c r="R70" i="46" s="1"/>
  <c r="E71" i="40"/>
  <c r="E72" i="40" s="1"/>
  <c r="E35" i="40" s="1"/>
  <c r="V23" i="40"/>
  <c r="W23" i="40" s="1"/>
  <c r="H83" i="42"/>
  <c r="H84" i="42" s="1"/>
  <c r="H35" i="42" s="1"/>
  <c r="G68" i="44"/>
  <c r="G69" i="44" s="1"/>
  <c r="G34" i="44" s="1"/>
  <c r="P34" i="44" s="1"/>
  <c r="A8" i="47"/>
  <c r="C8" i="47" s="1"/>
  <c r="J83" i="42"/>
  <c r="J84" i="42" s="1"/>
  <c r="J35" i="42" s="1"/>
  <c r="K83" i="42"/>
  <c r="K84" i="42" s="1"/>
  <c r="K35" i="42" s="1"/>
  <c r="L83" i="42"/>
  <c r="L84" i="42" s="1"/>
  <c r="L35" i="42" s="1"/>
  <c r="O83" i="42"/>
  <c r="O84" i="42" s="1"/>
  <c r="O35" i="42" s="1"/>
  <c r="P60" i="46"/>
  <c r="Q60" i="46" s="1"/>
  <c r="R60" i="46" s="1"/>
  <c r="G63" i="45"/>
  <c r="G64" i="45" s="1"/>
  <c r="G35" i="45" s="1"/>
  <c r="Q64" i="40"/>
  <c r="R64" i="40"/>
  <c r="P66" i="40"/>
  <c r="M71" i="40"/>
  <c r="M72" i="40" s="1"/>
  <c r="M35" i="40" s="1"/>
  <c r="V23" i="44"/>
  <c r="W23" i="44" s="1"/>
  <c r="X23" i="44" s="1"/>
  <c r="P76" i="42"/>
  <c r="W23" i="46"/>
  <c r="X25" i="43"/>
  <c r="Y25" i="43" s="1"/>
  <c r="O25" i="40"/>
  <c r="P25" i="40"/>
  <c r="P68" i="43"/>
  <c r="D69" i="43"/>
  <c r="P57" i="45"/>
  <c r="R57" i="45" s="1"/>
  <c r="F35" i="45"/>
  <c r="P35" i="45" s="1"/>
  <c r="D87" i="42"/>
  <c r="P86" i="42"/>
  <c r="Q62" i="48"/>
  <c r="R62" i="48" s="1"/>
  <c r="W25" i="45"/>
  <c r="F74" i="46"/>
  <c r="F75" i="46" s="1"/>
  <c r="F34" i="46" s="1"/>
  <c r="P67" i="46"/>
  <c r="R67" i="46" s="1"/>
  <c r="P68" i="46"/>
  <c r="W25" i="42"/>
  <c r="X25" i="42" s="1"/>
  <c r="X23" i="40"/>
  <c r="Y23" i="40" s="1"/>
  <c r="F65" i="44"/>
  <c r="F66" i="44" s="1"/>
  <c r="P58" i="44"/>
  <c r="M83" i="42"/>
  <c r="M84" i="42" s="1"/>
  <c r="M35" i="42" s="1"/>
  <c r="X23" i="42"/>
  <c r="M71" i="46"/>
  <c r="M72" i="46" s="1"/>
  <c r="M35" i="46" s="1"/>
  <c r="E35" i="48"/>
  <c r="P35" i="48" s="1"/>
  <c r="P64" i="48"/>
  <c r="D71" i="46"/>
  <c r="D72" i="46" s="1"/>
  <c r="P68" i="44"/>
  <c r="F65" i="43"/>
  <c r="F66" i="43" s="1"/>
  <c r="P60" i="43"/>
  <c r="P65" i="43" s="1"/>
  <c r="W25" i="48"/>
  <c r="X25" i="45"/>
  <c r="V23" i="48"/>
  <c r="X25" i="46"/>
  <c r="I83" i="42"/>
  <c r="I84" i="42" s="1"/>
  <c r="I35" i="42" s="1"/>
  <c r="P66" i="42"/>
  <c r="N83" i="42"/>
  <c r="N84" i="42" s="1"/>
  <c r="N35" i="42" s="1"/>
  <c r="P62" i="45"/>
  <c r="X25" i="44"/>
  <c r="Y23" i="45"/>
  <c r="Z23" i="45" s="1"/>
  <c r="Q58" i="46"/>
  <c r="R58" i="46" s="1"/>
  <c r="P59" i="48"/>
  <c r="R59" i="48" s="1"/>
  <c r="D66" i="48"/>
  <c r="V23" i="43"/>
  <c r="P80" i="42"/>
  <c r="E83" i="42"/>
  <c r="E84" i="42" s="1"/>
  <c r="E35" i="42" s="1"/>
  <c r="D83" i="42"/>
  <c r="D84" i="42" s="1"/>
  <c r="P61" i="45"/>
  <c r="R61" i="45" s="1"/>
  <c r="D66" i="45"/>
  <c r="F71" i="40"/>
  <c r="F72" i="40" s="1"/>
  <c r="P68" i="40"/>
  <c r="X25" i="40"/>
  <c r="Y25" i="40" s="1"/>
  <c r="D75" i="40"/>
  <c r="P74" i="40"/>
  <c r="P58" i="45"/>
  <c r="Q58" i="48"/>
  <c r="R58" i="48" s="1"/>
  <c r="P60" i="48"/>
  <c r="E75" i="46"/>
  <c r="P74" i="46"/>
  <c r="P71" i="46" l="1"/>
  <c r="R71" i="46" s="1"/>
  <c r="Y23" i="42"/>
  <c r="Z23" i="42" s="1"/>
  <c r="P69" i="44"/>
  <c r="P65" i="44"/>
  <c r="X23" i="46"/>
  <c r="P83" i="42"/>
  <c r="P64" i="45"/>
  <c r="P75" i="40"/>
  <c r="D34" i="40"/>
  <c r="P34" i="40" s="1"/>
  <c r="W23" i="43"/>
  <c r="Q62" i="45"/>
  <c r="R62" i="45" s="1"/>
  <c r="F35" i="43"/>
  <c r="P35" i="43" s="1"/>
  <c r="P66" i="43"/>
  <c r="P87" i="42"/>
  <c r="D34" i="42"/>
  <c r="P34" i="42" s="1"/>
  <c r="AA23" i="42"/>
  <c r="Q66" i="40"/>
  <c r="R66" i="40" s="1"/>
  <c r="P71" i="40"/>
  <c r="R71" i="40" s="1"/>
  <c r="D35" i="42"/>
  <c r="P35" i="42" s="1"/>
  <c r="P84" i="42"/>
  <c r="D67" i="48"/>
  <c r="P66" i="48"/>
  <c r="Y25" i="44"/>
  <c r="Z25" i="44" s="1"/>
  <c r="W23" i="48"/>
  <c r="AA23" i="45"/>
  <c r="AB23" i="45" s="1"/>
  <c r="F35" i="44"/>
  <c r="P35" i="44" s="1"/>
  <c r="P66" i="44"/>
  <c r="Q68" i="46"/>
  <c r="R68" i="46" s="1"/>
  <c r="Y25" i="45"/>
  <c r="P69" i="43"/>
  <c r="D34" i="43"/>
  <c r="P34" i="43" s="1"/>
  <c r="Z25" i="40"/>
  <c r="Q58" i="45"/>
  <c r="R58" i="45" s="1"/>
  <c r="P63" i="45"/>
  <c r="R63" i="45" s="1"/>
  <c r="X25" i="48"/>
  <c r="Z23" i="40"/>
  <c r="AA23" i="40" s="1"/>
  <c r="E34" i="46"/>
  <c r="P34" i="46" s="1"/>
  <c r="P75" i="46"/>
  <c r="Q68" i="40"/>
  <c r="R68" i="40" s="1"/>
  <c r="Q60" i="48"/>
  <c r="R60" i="48" s="1"/>
  <c r="F35" i="40"/>
  <c r="P35" i="40" s="1"/>
  <c r="P72" i="40"/>
  <c r="P63" i="48"/>
  <c r="R63" i="48" s="1"/>
  <c r="D67" i="45"/>
  <c r="P66" i="45"/>
  <c r="D35" i="46"/>
  <c r="P35" i="46" s="1"/>
  <c r="P72" i="46"/>
  <c r="Y25" i="46"/>
  <c r="Y23" i="44"/>
  <c r="Y25" i="42"/>
  <c r="Z25" i="43"/>
  <c r="AD23" i="45" l="1"/>
  <c r="AD23" i="42"/>
  <c r="Z23" i="46"/>
  <c r="X23" i="48"/>
  <c r="Y25" i="48"/>
  <c r="Z25" i="48" s="1"/>
  <c r="AA25" i="48" s="1"/>
  <c r="AA25" i="43"/>
  <c r="AD25" i="43" s="1"/>
  <c r="AB23" i="40"/>
  <c r="AD23" i="40" s="1"/>
  <c r="Z25" i="42"/>
  <c r="AB25" i="42" s="1"/>
  <c r="D34" i="48"/>
  <c r="P34" i="48" s="1"/>
  <c r="P67" i="48"/>
  <c r="D34" i="45"/>
  <c r="P34" i="45" s="1"/>
  <c r="P67" i="45"/>
  <c r="AC23" i="45"/>
  <c r="Z23" i="44"/>
  <c r="X23" i="43"/>
  <c r="Y23" i="43" s="1"/>
  <c r="AC25" i="43"/>
  <c r="Z25" i="46"/>
  <c r="AA25" i="46" s="1"/>
  <c r="AA25" i="40"/>
  <c r="Z25" i="45"/>
  <c r="AA25" i="45" s="1"/>
  <c r="AA25" i="44"/>
  <c r="AB25" i="44" s="1"/>
  <c r="AA25" i="42"/>
  <c r="AA23" i="46"/>
  <c r="AC23" i="40" l="1"/>
  <c r="AB23" i="46"/>
  <c r="AD23" i="46" s="1"/>
  <c r="AC23" i="42"/>
  <c r="AB25" i="46"/>
  <c r="AD25" i="46" s="1"/>
  <c r="AB25" i="48"/>
  <c r="AB25" i="45"/>
  <c r="AD25" i="45" s="1"/>
  <c r="AB25" i="40"/>
  <c r="AC25" i="40" s="1"/>
  <c r="AC23" i="46"/>
  <c r="AD25" i="44"/>
  <c r="AC25" i="42"/>
  <c r="AD25" i="42"/>
  <c r="Y23" i="48"/>
  <c r="Z23" i="48" s="1"/>
  <c r="AA23" i="48" s="1"/>
  <c r="AC25" i="44"/>
  <c r="Z23" i="43"/>
  <c r="AA23" i="44"/>
  <c r="AC25" i="46" l="1"/>
  <c r="AC25" i="48"/>
  <c r="AD25" i="48"/>
  <c r="AC25" i="45"/>
  <c r="AD25" i="40"/>
  <c r="AB23" i="48"/>
  <c r="AD23" i="48" s="1"/>
  <c r="AA23" i="43"/>
  <c r="AB23" i="44"/>
  <c r="AD23" i="44" s="1"/>
  <c r="AC23" i="44" l="1"/>
  <c r="AC23" i="48"/>
  <c r="AD23" i="43"/>
  <c r="AC23"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Angela Marcela Forero Ruiz</author>
    <author>ANGELA MARCELA FORERO RUIZ</author>
  </authors>
  <commentList>
    <comment ref="C32" authorId="0"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W33" authorId="0" shapeId="0" xr:uid="{00000000-0006-0000-0000-000002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34" authorId="1" shapeId="0" xr:uid="{00000000-0006-0000-0000-000003000000}">
      <text>
        <r>
          <rPr>
            <b/>
            <sz val="11"/>
            <color indexed="81"/>
            <rFont val="Tahoma"/>
            <family val="2"/>
          </rPr>
          <t>Angela Marcela Forero Ruiz:</t>
        </r>
        <r>
          <rPr>
            <sz val="11"/>
            <color indexed="81"/>
            <rFont val="Tahoma"/>
            <family val="2"/>
          </rPr>
          <t xml:space="preserve">
El avance cualitativo es el mismo del mes pasado, sin embargo el cuantivativo si avanzó 0,03</t>
        </r>
      </text>
    </comment>
    <comment ref="W34" authorId="1" shapeId="0" xr:uid="{00000000-0006-0000-0000-000004000000}">
      <text>
        <r>
          <rPr>
            <b/>
            <sz val="11"/>
            <color indexed="81"/>
            <rFont val="Tahoma"/>
            <family val="2"/>
          </rPr>
          <t>Angela Marcela Forero Ruiz:</t>
        </r>
        <r>
          <rPr>
            <sz val="11"/>
            <color indexed="81"/>
            <rFont val="Tahoma"/>
            <family val="2"/>
          </rPr>
          <t xml:space="preserve">
La actividad 4 ya está en 100%, no tiene retraso, favor revisar este campo.</t>
        </r>
      </text>
    </comment>
    <comment ref="Q42" authorId="2" shapeId="0" xr:uid="{00000000-0006-0000-0000-000005000000}">
      <text>
        <r>
          <rPr>
            <b/>
            <sz val="9"/>
            <color indexed="81"/>
            <rFont val="Tahoma"/>
            <family val="2"/>
          </rPr>
          <t>ANGELA MARCELA FORERO RUIZ:</t>
        </r>
        <r>
          <rPr>
            <sz val="9"/>
            <color indexed="81"/>
            <rFont val="Tahoma"/>
            <family val="2"/>
          </rPr>
          <t xml:space="preserve">
Se incluyó la fecha 31-ENE-2O22- Dejar claro en el reporte el avance de cada mes, por esta razón se puso la fecha en la primera actividad de acuerdo a lo reportado en enero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s>
  <commentList>
    <comment ref="Q44" authorId="0" shapeId="0" xr:uid="{00000000-0006-0000-0100-00000E000000}">
      <text>
        <r>
          <rPr>
            <b/>
            <sz val="9"/>
            <color indexed="81"/>
            <rFont val="Tahoma"/>
            <family val="2"/>
          </rPr>
          <t>ANGELA MARCELA FORERO RUIZ:</t>
        </r>
        <r>
          <rPr>
            <sz val="9"/>
            <color indexed="81"/>
            <rFont val="Tahoma"/>
            <family val="2"/>
          </rPr>
          <t xml:space="preserve">
Es clarco que el avance es de febrero porque ne enero no hubo avance para este reporte no hay observación, sin em bargo para el mes de marzo si es importante que quede claro que se hizo en febrero, que en marzo y así cada mes</t>
        </r>
      </text>
    </comment>
    <comment ref="A48" authorId="0" shapeId="0" xr:uid="{00000000-0006-0000-0100-00000F000000}">
      <text>
        <r>
          <rPr>
            <b/>
            <sz val="9"/>
            <color indexed="81"/>
            <rFont val="Tahoma"/>
            <family val="2"/>
          </rPr>
          <t>ANGELA MARCELA FORERO RUIZ:</t>
        </r>
        <r>
          <rPr>
            <sz val="9"/>
            <color indexed="81"/>
            <rFont val="Tahoma"/>
            <family val="2"/>
          </rPr>
          <t xml:space="preserve">
Incluir la acción (realizar, desarrollar, ejecutar)</t>
        </r>
      </text>
    </comment>
    <comment ref="A50" authorId="0" shapeId="0" xr:uid="{00000000-0006-0000-0100-000010000000}">
      <text>
        <r>
          <rPr>
            <b/>
            <sz val="9"/>
            <color indexed="81"/>
            <rFont val="Tahoma"/>
            <family val="2"/>
          </rPr>
          <t>ANGELA MARCELA FORERO RUIZ:</t>
        </r>
        <r>
          <rPr>
            <sz val="9"/>
            <color indexed="81"/>
            <rFont val="Tahoma"/>
            <family val="2"/>
          </rPr>
          <t xml:space="preserve">
Cambiar el vergo a infinitivo</t>
        </r>
      </text>
    </comment>
    <comment ref="A52" authorId="0" shapeId="0" xr:uid="{00000000-0006-0000-0100-000011000000}">
      <text>
        <r>
          <rPr>
            <b/>
            <sz val="9"/>
            <color indexed="81"/>
            <rFont val="Tahoma"/>
            <family val="2"/>
          </rPr>
          <t>ANGELA MARCELA FORERO RUIZ:</t>
        </r>
        <r>
          <rPr>
            <sz val="9"/>
            <color indexed="81"/>
            <rFont val="Tahoma"/>
            <family val="2"/>
          </rPr>
          <t xml:space="preserve">
Incluir la acción: realizar, ejecutar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200-000008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200-000009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200-00000A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Angela Marcela Forero Ruiz</author>
    <author>ANGELA MARCELA FORERO RUIZ</author>
  </authors>
  <commentList>
    <comment ref="C32" authorId="0" shapeId="0" xr:uid="{00000000-0006-0000-0400-00000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400-000005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400-000006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34" authorId="2" shapeId="0" xr:uid="{00000000-0006-0000-0400-000007000000}">
      <text>
        <r>
          <rPr>
            <b/>
            <sz val="11"/>
            <color indexed="81"/>
            <rFont val="Tahoma"/>
            <family val="2"/>
          </rPr>
          <t>Angela Marcela Forero Ruiz:</t>
        </r>
        <r>
          <rPr>
            <sz val="11"/>
            <color indexed="81"/>
            <rFont val="Tahoma"/>
            <family val="2"/>
          </rPr>
          <t xml:space="preserve">
Mejorar la redacción, dado que se menciona que la meta se cumple al 100% pero la meta es 0,3 y se ha avanzado en 0,21.</t>
        </r>
      </text>
    </comment>
    <comment ref="Q38" authorId="3" shapeId="0" xr:uid="{00000000-0006-0000-0400-000008000000}">
      <text>
        <r>
          <rPr>
            <b/>
            <sz val="10"/>
            <color indexed="81"/>
            <rFont val="Tahoma"/>
            <family val="2"/>
          </rPr>
          <t>ANGELA MARCELA FORERO RUIZ:</t>
        </r>
        <r>
          <rPr>
            <sz val="10"/>
            <color indexed="81"/>
            <rFont val="Tahoma"/>
            <family val="2"/>
          </rPr>
          <t xml:space="preserve">
Incluir el avance cualitativo de abril (como lo reportan en las demás metas)</t>
        </r>
      </text>
    </comment>
    <comment ref="A42" authorId="3" shapeId="0" xr:uid="{00000000-0006-0000-0400-000009000000}">
      <text>
        <r>
          <rPr>
            <b/>
            <sz val="9"/>
            <color indexed="81"/>
            <rFont val="Tahoma"/>
            <family val="2"/>
          </rPr>
          <t>ANGELA MARCELA FORERO RUIZ:</t>
        </r>
        <r>
          <rPr>
            <sz val="9"/>
            <color indexed="81"/>
            <rFont val="Tahoma"/>
            <family val="2"/>
          </rPr>
          <t xml:space="preserve">
Incluir el verbo en infinitivo Acompañar o realizar acompañamiento</t>
        </r>
      </text>
    </comment>
    <comment ref="Q42" authorId="3" shapeId="0" xr:uid="{00000000-0006-0000-0400-00000A000000}">
      <text>
        <r>
          <rPr>
            <b/>
            <sz val="10"/>
            <color indexed="81"/>
            <rFont val="Tahoma"/>
            <family val="2"/>
          </rPr>
          <t>ANGELA MARCELA FORERO RUIZ:</t>
        </r>
        <r>
          <rPr>
            <sz val="10"/>
            <color indexed="81"/>
            <rFont val="Tahoma"/>
            <family val="2"/>
          </rPr>
          <t xml:space="preserve">
Incluir el avance cualitativo de abril (como lo reportan en las demás metas)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ANGELA MARCELA FORERO RUIZ</author>
    <author>Angela Marcela Forero Ruiz</author>
  </authors>
  <commentList>
    <comment ref="C32" authorId="0" shapeId="0" xr:uid="{00000000-0006-0000-0500-000003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500-000004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500-000005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42" authorId="2" shapeId="0" xr:uid="{00000000-0006-0000-0500-000006000000}">
      <text>
        <r>
          <rPr>
            <b/>
            <sz val="9"/>
            <color indexed="81"/>
            <rFont val="Tahoma"/>
            <family val="2"/>
          </rPr>
          <t>ANGELA MARCELA FORERO RUIZ:</t>
        </r>
        <r>
          <rPr>
            <sz val="9"/>
            <color indexed="81"/>
            <rFont val="Tahoma"/>
            <family val="2"/>
          </rPr>
          <t xml:space="preserve">
Incluir el verbo en infinitivo Acompañar o realizar acompañamiento</t>
        </r>
      </text>
    </comment>
    <comment ref="Q42" authorId="2" shapeId="0" xr:uid="{00000000-0006-0000-0500-000007000000}">
      <text>
        <r>
          <rPr>
            <b/>
            <sz val="10"/>
            <color indexed="81"/>
            <rFont val="Tahoma"/>
            <family val="2"/>
          </rPr>
          <t>ANGELA MARCELA FORERO RUIZ:</t>
        </r>
        <r>
          <rPr>
            <sz val="10"/>
            <color indexed="81"/>
            <rFont val="Tahoma"/>
            <family val="2"/>
          </rPr>
          <t xml:space="preserve">
El último párrafo corresponde al mes de abril, si es así indicar durante el mes de abril El CCM propuso la conformación de 8...</t>
        </r>
      </text>
    </comment>
    <comment ref="A46" authorId="2" shapeId="0" xr:uid="{00000000-0006-0000-0500-000008000000}">
      <text>
        <r>
          <rPr>
            <b/>
            <sz val="9"/>
            <color indexed="81"/>
            <rFont val="Tahoma"/>
            <family val="2"/>
          </rPr>
          <t>ANGELA MARCELA FORERO RUIZ:</t>
        </r>
        <r>
          <rPr>
            <sz val="9"/>
            <color indexed="81"/>
            <rFont val="Tahoma"/>
            <family val="2"/>
          </rPr>
          <t xml:space="preserve">
Incluir el verbo en infinitivo Acompañar o realizar acompañamiento</t>
        </r>
      </text>
    </comment>
    <comment ref="A48" authorId="2" shapeId="0" xr:uid="{00000000-0006-0000-0500-000009000000}">
      <text>
        <r>
          <rPr>
            <b/>
            <sz val="9"/>
            <color indexed="81"/>
            <rFont val="Tahoma"/>
            <family val="2"/>
          </rPr>
          <t>ANGELA MARCELA FORERO RUIZ:</t>
        </r>
        <r>
          <rPr>
            <sz val="9"/>
            <color indexed="81"/>
            <rFont val="Tahoma"/>
            <family val="2"/>
          </rPr>
          <t xml:space="preserve">
Incluir el verbo en infinitivo Acompañar o realizar acompañamiento</t>
        </r>
      </text>
    </comment>
    <comment ref="N49" authorId="3" shapeId="0" xr:uid="{00000000-0006-0000-0500-00000A000000}">
      <text>
        <r>
          <rPr>
            <b/>
            <sz val="9"/>
            <color indexed="81"/>
            <rFont val="Tahoma"/>
            <family val="2"/>
          </rPr>
          <t>Angela Marcela Forero Ruiz:</t>
        </r>
        <r>
          <rPr>
            <sz val="9"/>
            <color indexed="81"/>
            <rFont val="Tahoma"/>
            <family val="2"/>
          </rPr>
          <t xml:space="preserve">
Se ajusta a solicitud del proyecto (Dennis y Angela Avila)</t>
        </r>
      </text>
    </comment>
    <comment ref="A50" authorId="2" shapeId="0" xr:uid="{00000000-0006-0000-0500-00000B000000}">
      <text>
        <r>
          <rPr>
            <b/>
            <sz val="9"/>
            <color indexed="81"/>
            <rFont val="Tahoma"/>
            <family val="2"/>
          </rPr>
          <t>ANGELA MARCELA FORERO RUIZ:</t>
        </r>
        <r>
          <rPr>
            <sz val="9"/>
            <color indexed="81"/>
            <rFont val="Tahoma"/>
            <family val="2"/>
          </rPr>
          <t xml:space="preserve">
Incluir el verbo en infinitivo Acompañar o realizar acompañamiento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tc={E7A438EF-72BC-4C57-BD52-6AB74C0E20DB}</author>
    <author>tc={031F8347-D4EC-4C6A-860A-70D14BBF53E7}</author>
  </authors>
  <commentList>
    <comment ref="L14" authorId="0" shapeId="0" xr:uid="{7ADE1140-8592-4DBC-93AB-4509FF9E3717}">
      <text>
        <r>
          <rPr>
            <b/>
            <sz val="9"/>
            <color indexed="81"/>
            <rFont val="Tahoma"/>
            <family val="2"/>
          </rPr>
          <t>Angela Marcela Forero Ruiz:</t>
        </r>
        <r>
          <rPr>
            <sz val="9"/>
            <color indexed="81"/>
            <rFont val="Tahoma"/>
            <family val="2"/>
          </rPr>
          <t xml:space="preserve">
Se ajusta de acuerdo con lo aprobado por la SDH en oficio del 19-DIC-2022</t>
        </r>
      </text>
    </comment>
    <comment ref="Q14" authorId="0" shapeId="0" xr:uid="{21AFF523-AA1F-412C-8032-F80B8AEDCED8}">
      <text>
        <r>
          <rPr>
            <b/>
            <sz val="9"/>
            <color indexed="81"/>
            <rFont val="Tahoma"/>
            <family val="2"/>
          </rPr>
          <t>Angela Marcela Forero Ruiz:</t>
        </r>
        <r>
          <rPr>
            <sz val="9"/>
            <color indexed="81"/>
            <rFont val="Tahoma"/>
            <family val="2"/>
          </rPr>
          <t xml:space="preserve">
Se ajusta de acuerdo con lo aprobado por la SDH en oficio del 19-DIC-2022</t>
        </r>
      </text>
    </comment>
    <comment ref="R14" authorId="0" shapeId="0" xr:uid="{87650AB4-B4CB-41A4-8CAB-98C4F0C33594}">
      <text>
        <r>
          <rPr>
            <b/>
            <sz val="9"/>
            <color indexed="81"/>
            <rFont val="Tahoma"/>
            <family val="2"/>
          </rPr>
          <t>Angela Marcela Forero Ruiz:</t>
        </r>
        <r>
          <rPr>
            <sz val="9"/>
            <color indexed="81"/>
            <rFont val="Tahoma"/>
            <family val="2"/>
          </rPr>
          <t xml:space="preserve">
Se ajusta de acuerdo con lo aprobado por la SDH en oficio del 19-DIC-2022</t>
        </r>
      </text>
    </comment>
    <comment ref="L15" authorId="0" shapeId="0" xr:uid="{C0CED26B-BFC9-4C04-B32B-15D51EBA4B2B}">
      <text>
        <r>
          <rPr>
            <b/>
            <sz val="9"/>
            <color indexed="81"/>
            <rFont val="Tahoma"/>
            <family val="2"/>
          </rPr>
          <t>Angela Marcela Forero Ruiz:</t>
        </r>
        <r>
          <rPr>
            <sz val="9"/>
            <color indexed="81"/>
            <rFont val="Tahoma"/>
            <family val="2"/>
          </rPr>
          <t xml:space="preserve">
Se ajusta de acuerdo con lo aprobado por la SDH en oficio del 19-DIC-2022</t>
        </r>
      </text>
    </comment>
    <comment ref="Q15" authorId="0" shapeId="0" xr:uid="{9290EA70-D6AD-45F3-BDBE-63AE9A4F835B}">
      <text>
        <r>
          <rPr>
            <b/>
            <sz val="9"/>
            <color indexed="81"/>
            <rFont val="Tahoma"/>
            <family val="2"/>
          </rPr>
          <t>Angela Marcela Forero Ruiz:</t>
        </r>
        <r>
          <rPr>
            <sz val="9"/>
            <color indexed="81"/>
            <rFont val="Tahoma"/>
            <family val="2"/>
          </rPr>
          <t xml:space="preserve">
Se ajusta de acuerdo con lo aprobado por la SDH en oficio del 19-DIC-2022</t>
        </r>
      </text>
    </comment>
    <comment ref="R15" authorId="0" shapeId="0" xr:uid="{7F2EDDF7-D9D9-4E54-8380-7770DC780453}">
      <text>
        <r>
          <rPr>
            <b/>
            <sz val="9"/>
            <color indexed="81"/>
            <rFont val="Tahoma"/>
            <family val="2"/>
          </rPr>
          <t>Angela Marcela Forero Ruiz:</t>
        </r>
        <r>
          <rPr>
            <sz val="9"/>
            <color indexed="81"/>
            <rFont val="Tahoma"/>
            <family val="2"/>
          </rPr>
          <t xml:space="preserve">
Se ajusta de acuerdo con lo aprobado por la SDH en oficio del 19-DIC-2022</t>
        </r>
      </text>
    </comment>
    <comment ref="L16" authorId="0" shapeId="0" xr:uid="{CE9247FC-25DE-4AD7-BA75-8CFB08588920}">
      <text>
        <r>
          <rPr>
            <b/>
            <sz val="9"/>
            <color indexed="81"/>
            <rFont val="Tahoma"/>
            <family val="2"/>
          </rPr>
          <t>Angela Marcela Forero Ruiz:</t>
        </r>
        <r>
          <rPr>
            <sz val="9"/>
            <color indexed="81"/>
            <rFont val="Tahoma"/>
            <family val="2"/>
          </rPr>
          <t xml:space="preserve">
Se ajusta de acuerdo con lo aprobado por la SDH en oficio del 19-DIC-2022</t>
        </r>
      </text>
    </comment>
    <comment ref="Q16" authorId="0" shapeId="0" xr:uid="{00C3A05C-C8B7-4278-916E-23DD47845F2E}">
      <text>
        <r>
          <rPr>
            <b/>
            <sz val="9"/>
            <color indexed="81"/>
            <rFont val="Tahoma"/>
            <family val="2"/>
          </rPr>
          <t>Angela Marcela Forero Ruiz:</t>
        </r>
        <r>
          <rPr>
            <sz val="9"/>
            <color indexed="81"/>
            <rFont val="Tahoma"/>
            <family val="2"/>
          </rPr>
          <t xml:space="preserve">
Se ajusta de acuerdo con lo aprobado por la SDH en oficio del 19-DIC-2022</t>
        </r>
      </text>
    </comment>
    <comment ref="R16" authorId="0" shapeId="0" xr:uid="{579E9BA5-5969-4DD1-A9AF-EA849ABDFE5A}">
      <text>
        <r>
          <rPr>
            <b/>
            <sz val="9"/>
            <color indexed="81"/>
            <rFont val="Tahoma"/>
            <family val="2"/>
          </rPr>
          <t>Angela Marcela Forero Ruiz:</t>
        </r>
        <r>
          <rPr>
            <sz val="9"/>
            <color indexed="81"/>
            <rFont val="Tahoma"/>
            <family val="2"/>
          </rPr>
          <t xml:space="preserve">
Se ajusta de acuerdo con lo aprobado por la SDH en oficio del 19-DIC-2022</t>
        </r>
      </text>
    </comment>
    <comment ref="L19" authorId="1" shapeId="0" xr:uid="{00000000-0006-0000-0700-00000D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puede requerir ajuste</t>
      </text>
    </comment>
    <comment ref="Q19" authorId="0" shapeId="0" xr:uid="{00000000-0006-0000-0700-00000E000000}">
      <text>
        <r>
          <rPr>
            <b/>
            <sz val="9"/>
            <color indexed="81"/>
            <rFont val="Tahoma"/>
            <family val="2"/>
          </rPr>
          <t>Angela Marcela Forero Ruiz:</t>
        </r>
        <r>
          <rPr>
            <sz val="9"/>
            <color indexed="81"/>
            <rFont val="Tahoma"/>
            <family val="2"/>
          </rPr>
          <t xml:space="preserve">
Ajustar la meta 6476 de acuerdo a lo solicitado por el proyecto</t>
        </r>
      </text>
    </comment>
    <comment ref="V19" authorId="2" shapeId="0" xr:uid="{00000000-0006-0000-0700-00000F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PUEDE REQUERIR AJUSTE</t>
      </text>
    </comment>
    <comment ref="AH19" authorId="0" shapeId="0" xr:uid="{00000000-0006-0000-0700-000010000000}">
      <text>
        <r>
          <rPr>
            <b/>
            <sz val="9"/>
            <color indexed="81"/>
            <rFont val="Tahoma"/>
            <family val="2"/>
          </rPr>
          <t>Angela Marcela Forero Ruiz:</t>
        </r>
        <r>
          <rPr>
            <sz val="9"/>
            <color indexed="81"/>
            <rFont val="Tahoma"/>
            <family val="2"/>
          </rPr>
          <t xml:space="preserve">
El mes pasado ajustamos la meta total pero no la programación mensual, podemos ajustarla este mes.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8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8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8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Microsoft Office User</author>
    <author>ANGELA MARCELA FORERO RUIZ</author>
  </authors>
  <commentList>
    <comment ref="AB9" authorId="0" shapeId="0" xr:uid="{00000000-0006-0000-09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BK9" authorId="0" shapeId="0" xr:uid="{00000000-0006-0000-0900-00000200000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A25" authorId="1" shapeId="0" xr:uid="{00000000-0006-0000-0900-000003000000}">
      <text>
        <r>
          <rPr>
            <b/>
            <sz val="9"/>
            <color indexed="81"/>
            <rFont val="Tahoma"/>
            <family val="2"/>
          </rPr>
          <t>ANGELA MARCELA FORERO RUIZ:</t>
        </r>
        <r>
          <rPr>
            <sz val="9"/>
            <color indexed="81"/>
            <rFont val="Tahoma"/>
            <family val="2"/>
          </rPr>
          <t xml:space="preserve">
Distribuir las 9.300 en todo el año en lo programado y en lo ejecutado si se pone cada mes las atenciones que se vayan realizando</t>
        </r>
      </text>
    </comment>
    <comment ref="AB38" authorId="0" shapeId="0" xr:uid="{00000000-0006-0000-09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BK38" authorId="0" shapeId="0" xr:uid="{00000000-0006-0000-0900-00000500000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A54" authorId="1" shapeId="0" xr:uid="{00000000-0006-0000-0900-000006000000}">
      <text>
        <r>
          <rPr>
            <b/>
            <sz val="9"/>
            <color indexed="81"/>
            <rFont val="Tahoma"/>
            <family val="2"/>
          </rPr>
          <t>ANGELA MARCELA FORERO RUIZ:</t>
        </r>
        <r>
          <rPr>
            <sz val="9"/>
            <color indexed="81"/>
            <rFont val="Tahoma"/>
            <family val="2"/>
          </rPr>
          <t xml:space="preserve">
Distribuir las 6.800 en todo el año en lo programado y en lo ejecutado si se pone cada mes las atenciones que se vayan realizando
</t>
        </r>
      </text>
    </comment>
    <comment ref="AB66" authorId="0" shapeId="0" xr:uid="{00000000-0006-0000-0900-00000700000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BK66" authorId="0" shapeId="0" xr:uid="{00000000-0006-0000-0900-00000800000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A82" authorId="1" shapeId="0" xr:uid="{00000000-0006-0000-0900-000009000000}">
      <text>
        <r>
          <rPr>
            <b/>
            <sz val="9"/>
            <color indexed="81"/>
            <rFont val="Tahoma"/>
            <family val="2"/>
          </rPr>
          <t>ANGELA MARCELA FORERO RUIZ:</t>
        </r>
        <r>
          <rPr>
            <sz val="9"/>
            <color indexed="81"/>
            <rFont val="Tahoma"/>
            <family val="2"/>
          </rPr>
          <t xml:space="preserve">
Distribuir las 15.000 en todo el año en lo programado y en lo ejecutado si se pone cada mes las atenciones que se vayan realizando</t>
        </r>
      </text>
    </comment>
  </commentList>
</comments>
</file>

<file path=xl/sharedStrings.xml><?xml version="1.0" encoding="utf-8"?>
<sst xmlns="http://schemas.openxmlformats.org/spreadsheetml/2006/main" count="5577" uniqueCount="608">
  <si>
    <t>SECRETARÍA DISTRITAL DE LA MUJER</t>
  </si>
  <si>
    <t>Código: DE-FO-05</t>
  </si>
  <si>
    <t xml:space="preserve">DIRECCIONAMIENTO ESTRATEGICO </t>
  </si>
  <si>
    <t>Versión: 08</t>
  </si>
  <si>
    <t xml:space="preserve">FORMULACIÓN Y SEGUIMIENTO  PLAN DE ACCIÓN </t>
  </si>
  <si>
    <t>Fecha de Emisión: 4 de enero de 2022</t>
  </si>
  <si>
    <t>Página 1 de 1</t>
  </si>
  <si>
    <t>PERIODO REPORTADO</t>
  </si>
  <si>
    <t>JUL</t>
  </si>
  <si>
    <t>FECHA DE REPORTE</t>
  </si>
  <si>
    <t>TIPO DE REPORTE</t>
  </si>
  <si>
    <t>FORMULACION</t>
  </si>
  <si>
    <t>ACTUALIZACION</t>
  </si>
  <si>
    <t>SEGUIMIENTO</t>
  </si>
  <si>
    <t>X</t>
  </si>
  <si>
    <t>NOMBRE DEL PROYECTO</t>
  </si>
  <si>
    <t>7671 - Implementación de acciones afirmativas dirigidas a las mujeres con enfoque diferencial y de género en Bogotá</t>
  </si>
  <si>
    <t>PROPÓSITO</t>
  </si>
  <si>
    <t>Hacer un nuevo contrato social con igualdad de oportunidades para la inclusión social, productiva y política</t>
  </si>
  <si>
    <t>LOGRO</t>
  </si>
  <si>
    <t>Reducir la pobreza monetaria, multidimensional y la feminización de la pobreza</t>
  </si>
  <si>
    <t>PROGRAMA</t>
  </si>
  <si>
    <t>Promocion de la igualdad de género, desarrollo de capacidades y reconocimiento de la ciudadania en su diversidad.</t>
  </si>
  <si>
    <t>DESCRIPCIÓN DE LA META (ACTIVIDAD MGA)</t>
  </si>
  <si>
    <t>Elaborar e implementar 3 lineamientos con enfoques de derechos de las mujeres, de género y diferencial</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</si>
  <si>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</si>
  <si>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</si>
  <si>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</si>
  <si>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</si>
  <si>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</si>
  <si>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</si>
  <si>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</si>
  <si>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</si>
  <si>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</si>
  <si>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</si>
  <si>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</si>
  <si>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AGO</t>
  </si>
  <si>
    <t>SEP</t>
  </si>
  <si>
    <t>OCT</t>
  </si>
  <si>
    <t>NOV</t>
  </si>
  <si>
    <t>DIC</t>
  </si>
  <si>
    <t>TOTAL</t>
  </si>
  <si>
    <t>AVANCE</t>
  </si>
  <si>
    <t>PROGRAMACION DE COMPROMISOS</t>
  </si>
  <si>
    <t>-</t>
  </si>
  <si>
    <t>COMPROMISOS</t>
  </si>
  <si>
    <t>N/A</t>
  </si>
  <si>
    <t>PROGRAMACION DE GIROS</t>
  </si>
  <si>
    <t>GIROS</t>
  </si>
  <si>
    <t xml:space="preserve">REPORTE METAS VIGENCIA ANTERIOR - Pendientes de cumplir por contratos sin ejecutar a 31.DIC (Reservas Presupuestales) </t>
  </si>
  <si>
    <t>DESCRIPCIÓN DE LA META (ACTIVIDAD)</t>
  </si>
  <si>
    <t>PROG.</t>
  </si>
  <si>
    <t>AVANCE TRIMESTRE</t>
  </si>
  <si>
    <t>DESCRIPCIÓN CUALITATIVA DEL AVANCE POR META
(Logros y beneficios, y retrasos y alternativas de solución (2.000 caracteres))</t>
  </si>
  <si>
    <t>Se ejecutó el total de la reserva constituida de la meta 1 en el mes de mayo/22.</t>
  </si>
  <si>
    <t>REPORTE METAS VIGENCIA (Ejecución vigencia)</t>
  </si>
  <si>
    <t xml:space="preserve">DESCRIPCIÓN DE LA META (ACTIVIDAD) </t>
  </si>
  <si>
    <t>PONDERACIÓN META</t>
  </si>
  <si>
    <t xml:space="preserve">AVANCE DE META </t>
  </si>
  <si>
    <t>DESCRIPCIÓN CUALITATIVA DEL AVANCE POR META</t>
  </si>
  <si>
    <t>Avances y Logros (2.000 caracteres)</t>
  </si>
  <si>
    <t>Retrasos y Alternativas de solución (1.000 caracteres)</t>
  </si>
  <si>
    <t>Beneficios</t>
  </si>
  <si>
    <t>Programación</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</si>
  <si>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</si>
  <si>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</si>
  <si>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</si>
  <si>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</si>
  <si>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</si>
  <si>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</si>
  <si>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</si>
  <si>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</si>
  <si>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</si>
  <si>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</si>
  <si>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</si>
  <si>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</si>
  <si>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</si>
  <si>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</si>
  <si>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</si>
  <si>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</si>
  <si>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</si>
  <si>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</si>
  <si>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</si>
  <si>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</si>
  <si>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1. Realizar actividades de asistencia técnica dirigidas a los Sectores de la Administración Distrital, orientadas a la implementación de los lineamientos para la estrategia de transversalización del enfoque diferencial y del procedimiento de asistencia técnica que lidera la Dirección de Enfoque Diferencial. </t>
  </si>
  <si>
    <t xml:space="preserve">2. Diseñar, implementar o divulgar herramientas que contribuyan a la eliminación de barreras de acceso a los servicios y a la realización de acciones afirmativas dirigidas a mujeres en sus diferencias y diversidad para la garantía de sus derechos en el Distrito Capital. </t>
  </si>
  <si>
    <t>3. Formular un plan de fortalecimiento interno para la incorporación de acciones afirmativas con enfoque diferencial, que permitan el acceso de las mujeres en toda su diversidad a los servicios que presta la Secretaría Distrital de la Mujer.</t>
  </si>
  <si>
    <t>4. Socializar los lineamientos de la estrategia de corresponsabilidad y elaborar su manual operativo, teniendo en cuenta los enfoques de derechos de las mujeres, de genero y diferencial.</t>
  </si>
  <si>
    <t>5. Socializar e implementar la hoja de ruta para incorporar los enfoques de derechos, de género y diferencial para mujeres, a través del acompañamiento y articulación con las consejeras territoriales por el Sector Mujeres en el CTPD.</t>
  </si>
  <si>
    <t>6. Socializar e implementar la hoja de ruta para incorporar los enfoques de derechos, de género y diferencial para mujeres, a través del acompañamiento y articulación con la Subcomisión de Género del Decreto 563 de 2015.</t>
  </si>
  <si>
    <t>5. Implementar el lineamiento de transversalización de los enfoques de derechos, de genero y diferencial para mujeres, a través del acompañamiento y articulación con las consejeras territoriales por el Sector Mujeres en el CTPD.</t>
  </si>
  <si>
    <t>7. Realizar un documento que dé cuenta de la incorporación de los enfoques de derechos de las mujeres, de género y diferencial para mujeres en las instancias que se acompañan desde la Subsecretaría del Cuidado y Políticas de Igualdad.</t>
  </si>
  <si>
    <t>DESCRIPCIÓN DE LA ACTIVIDAD</t>
  </si>
  <si>
    <t>Implementar 3 estrategias con enfoque diferencial para mujeres en su diversidad</t>
  </si>
  <si>
    <t>El saldo  del contrato de transporte No.73785 se liberó en el mes de julio.</t>
  </si>
  <si>
    <t xml:space="preserve">8. Realizar semilleros de empoderamiento dirigidos a niñas, adolescentes y mujeres jóvenes. </t>
  </si>
  <si>
    <t>9. Desarrollar acciones de empoderamiento dirigidas a niñas, adolescentes y mujeres jóvenes.</t>
  </si>
  <si>
    <t>10. Fortalecer redes protectoras con madres, padres, cuidadoras, cuidadores y profesionales que en el marco de sus acciones trabajan con niñas, niños y adolescentes para la identificación, prevención y actuación frente a las violencias y formas de discriminación basadas en género contra niños, niñas y adolescentes.</t>
  </si>
  <si>
    <t>11. Desarrollar escuelas de educación emocional enfocadas en fortalecer capacidades y herramientas para gestionar la salud mental de las mujeres en su diversidad en la ciudad de Bogotá.</t>
  </si>
  <si>
    <t>12. Desarrollar espacios de encuentro de mujeres para el cuidado emocional denominados Espacios Respiro.</t>
  </si>
  <si>
    <t xml:space="preserve">13. Desarrollar un Curso virtual Fortalecimiento de Hábitos de autocuidado y herramientas para la atención y acompañamiento sensible con enfoque diferencial   para equipos de atención psicosocial de los diferentes sectores del Distrito </t>
  </si>
  <si>
    <t xml:space="preserve">14.   Implementar la Fase I y II de la EDCM . Espacios EMAA mujeres en sus diferencias y diversidad; hombres trans y personas no binarias. Jornadas de Dignidad Menstrual.  Fortalecimiento de capacidades y/o acompañamiento en EMAA a servidoras/servidores públicos del Distrito </t>
  </si>
  <si>
    <t xml:space="preserve">15. Desarrollar la Mesa Interinstitucional e implementar Plan de Trabajo  </t>
  </si>
  <si>
    <t xml:space="preserve">16. Definir e implementar acciones de las fases III y IV de la Estrategia de Cuidado Menstrual dirigidas a mujeres y personas con experiencias menstruales en sus diferencias y diversidad, según priorización y pertinencia. </t>
  </si>
  <si>
    <t>17. Diseñar y poner en acción el Plan Estratégico de Comunicaciones de la EDCM</t>
  </si>
  <si>
    <t>Promoción de la igualdad de género, desarrollo de capacidades y reconocimiento de la ciudadanía en su diversidad.</t>
  </si>
  <si>
    <t xml:space="preserve">Implementar la Estrategia Casa de Todas </t>
  </si>
  <si>
    <t xml:space="preserve">Implementar la Estrategia Casa de Todas 														</t>
  </si>
  <si>
    <t>Se brindó atención integral y acompañamiento a las mujeres que realizan ASP con el fin de contribuir a la garantía de derechos, combatir la estigmatización y mejorar la calidad de vida de esta población a través de una oferta institucional diferencial y especializada.</t>
  </si>
  <si>
    <t>18. Realizar atenciones en intervención social que comprenden plan de intervención, asesoría, acompañamiento, enrutamiento y seguimiento a mujeres que realizan actividades sexuales pagadas</t>
  </si>
  <si>
    <t>19. Realizar atenciones psicosociales  (valoración, asesoría y seguimiento) a mujeres que realizan actividades sexuales pagadas y sus familias</t>
  </si>
  <si>
    <t>20. Realizar atenciones jurídicas a mujeres que realizan actividades sexuales pagadas, que consisten en orientación, asesoría y representación jurídica especializada y llevar casos de intervención o representación judicial, con valoraciones iniciales y  los seguimientos correspondientes a cada caso.</t>
  </si>
  <si>
    <t>21. Generar y divulgar información de los sitios, dinámicas y contextos de las actividades sexuales pagadas en Bogotá</t>
  </si>
  <si>
    <t xml:space="preserve">7671 - Implementación de acciones afirmativas dirigidas a las mujeres con enfoque diferencial y de género en Bogotá								
</t>
  </si>
  <si>
    <t xml:space="preserve">Hacer un nuevo contrato social con igualdad de oportunidades para la inclusión social, productiva y política								
</t>
  </si>
  <si>
    <t xml:space="preserve">Reducir la pobreza monetaria, multidimensional y la feminización de la pobreza				
</t>
  </si>
  <si>
    <t xml:space="preserve">Promocion de la igualdad de género, desarrollo de capacidades y reconocimiento de la ciudadania en su diversidad.			
</t>
  </si>
  <si>
    <t xml:space="preserve">Implementar una estrategia de educación flexible con enfoque diferencial.														
</t>
  </si>
  <si>
    <t>Implementar una estrategia de educación flexible con enfoque diferencial.</t>
  </si>
  <si>
    <t xml:space="preserve">22. Generar alianzas interinstitucionales, convenios y articulaciones con entidades nacionales y distritales, públicas y privadas para la implementación de estrategias educativas flexibles con enfoque diferencial. </t>
  </si>
  <si>
    <t xml:space="preserve">23. Promover los apoyos de educación superior con las pruebas Saber (ICFES), Ferias Universitarias y Ruta de la educación superior.  </t>
  </si>
  <si>
    <t xml:space="preserve">24. Acompañar a la SDMujer y promoción y vinculación de mujeres en toda su diversidad a la formación complementaria (SENA, Google y Escuela Indigena). </t>
  </si>
  <si>
    <t xml:space="preserve">25. Realizar el seguimiento y acompañamiento a las mujeres registradas en las estrategias de Educación Flexible inscritas a través de la Dirección de Enfoque Diferencial. </t>
  </si>
  <si>
    <t>Promocion de la igualdad de género, desarrollo de capacidades y reconocimiento de la ciudadania en su diversidad</t>
  </si>
  <si>
    <t>Implementar 1 estrategia de fortalecimiento de capacidades  para el ejercicio del derecho a la participación de las mujeres</t>
  </si>
  <si>
    <t>Saldo de la reserva ejecutado en su totalidad</t>
  </si>
  <si>
    <t>Fortalecimiento de las capacidades de las mujeres en torno al ejercicio del derecho de la participación</t>
  </si>
  <si>
    <t>26. Diseñar y socializar la estrategia de fortalecimiento de capacidades para el ejercicio del derecho a la participación de las mujeres en el Distrito.</t>
  </si>
  <si>
    <t>27. Realizar una implementación piloto de la estrategia de fortalecimiento de capacidades para el ejercicio del derecho a la participación de las mujeres en el Distrito.</t>
  </si>
  <si>
    <t>28. Implementar el proceso eleccionario del Consejo Consultivo de Mujeres - Espacio Autónomo y posesionar las Consejeras Consultivas electas.</t>
  </si>
  <si>
    <t xml:space="preserve">Acompañar técnicamente 4 instancias de participación y representación de las mujeres  para fortalecer sus capacidades de liderazgo								
</t>
  </si>
  <si>
    <t xml:space="preserve">Acompañar técnicamente 4 instancias de participación y representación de las mujeres  para fortalecer sus capacidades de liderazgo		</t>
  </si>
  <si>
    <t>Se han realizado el acompañamiento técnico a las cuatro instancias priorizadas  CCM , la Subcomisión de Género, el CTPD y el Concejo de Bogotá</t>
  </si>
  <si>
    <t>Acompañamiento técnico para el fortalecimiento del derecho a la participación de las mujeres en las diferentes instancias priorizadas, para el posicionamiento de sus agendas.</t>
  </si>
  <si>
    <t xml:space="preserve">29. Acompañar técnica y operativamente el desarrollo de la Mesa coordinadora y la plenaria del espacio autónomo del Consejo Consultivo de Mujeres </t>
  </si>
  <si>
    <t>30. Acompañar técnicamente el desarrollo de las mesas de trabajo con los sectores de la administración distrital y hacerle seguimiento a los compromisos adquiridos por la administración distrital en el marco del Consejo Consultivo de Mujeres - EA.</t>
  </si>
  <si>
    <t>31. Acompañar técnicamente el desarrollo de comisiones de trabajo del Espacio Autónomo del Consejo Consultivo de Mujeres.</t>
  </si>
  <si>
    <t>32. Acompañar técnicamente la transversalización del enfoque de género en el Concejo de Bogotá, con enfásis en las bancadas de mujeres de este organo</t>
  </si>
  <si>
    <t>33. Acompañar técnicamente la incorporación del enfoque de género en la mesa de la actualización del decreto 563 de 2015, gestionar y coordinar las reuniones con la subcomisión de genero.</t>
  </si>
  <si>
    <t>34. Realizar Acompañamiento técnico al Centro de Operaciones de Emergencia (COE) durante las movilizaciones sociales que se realicen y a las cuales se convoque a la SDMujer.</t>
  </si>
  <si>
    <t>35. Acompañar técnicamente la incorporación del enfoque de género en el Consejo Territorial de Planeación Distrital CTPD</t>
  </si>
  <si>
    <t>7671 - Implementación de acciones afirmativas dirigidas a las mujeres con enfoque diferencial y de género en Bogotá7671 - Implementación de acciones afirmativas dirigidas a las mujeres con enfoque diferencial y de género en Bogotá</t>
  </si>
  <si>
    <t>Diseñar e implementar 4 estrategias de transformación de imaginarios, representaciones  y estereotipos de discriminación con enfoque diferencial y de género, dirigidas a la ciudadanía</t>
  </si>
  <si>
    <t>No se  presentan retrasos.</t>
  </si>
  <si>
    <t>36. Planear, articular y desarrollar  las distintas conmemoraciones de mujeres en sus diferencias y diversidad, que permitan visibilizar sus luchas y biografías desde el enfoque diferencial.</t>
  </si>
  <si>
    <t xml:space="preserve">37. Diseñar, articular e implementar jornadas de información  con las Oficinas de Atención a la Ciudadanía, con el objetivo de transversalizar el enfoque de género y diferencial con los sectores de la Administración Distrital, generando un cambio comunicacional acerca del lenguaje incluyente y no  sexista, que promueven los estereotipos, inmaginarios yrepresentaciones y fomentas los sistemas de opresión y discriminación contra las mujeres en sus diferencias y diversidad. </t>
  </si>
  <si>
    <t xml:space="preserve">38. Apoyar y articular acciones para la transformación cultural, con diferentes sectores de la administración distrital, organizaciones sociales y grupos de mujeres en sus diferencias y diversidad . </t>
  </si>
  <si>
    <t>FORMULACIÓN Y SEGUIMIENTO PLAN DE ACCIÓN</t>
  </si>
  <si>
    <t>Fecha de Emisión: 04 de enero de 2022</t>
  </si>
  <si>
    <t>Página 2 de 3</t>
  </si>
  <si>
    <t xml:space="preserve">PROGRAMACIÓN </t>
  </si>
  <si>
    <t>DESCRIPCIÓN CUALITATIVA DEL AVANCE</t>
  </si>
  <si>
    <t>RETRASOS Y FACTORES LIMITANTES PARA EL CUMPLIMIENTO</t>
  </si>
  <si>
    <t>SOLUCIONES PROPUESTAS PARA RESOLVER LOS RETRASOS Y FACTORES LIMITANTES PARA EL CUMPLIMIENTO</t>
  </si>
  <si>
    <t>PRODUCTO INSTITUCIONAL:</t>
  </si>
  <si>
    <t>3. Igualdad de oportunidades y desarrollo de capacidades para las mujeres</t>
  </si>
  <si>
    <t>OBJETIVO ESTRATEGICO:</t>
  </si>
  <si>
    <t>Implementar acciones afirmativas y estrategias con Enfoque Diferencial para las mujeres en toda su diversidad.</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</si>
  <si>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</si>
  <si>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</si>
  <si>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</si>
  <si>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</si>
  <si>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</si>
  <si>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</si>
  <si>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</si>
  <si>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</si>
  <si>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</si>
  <si>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</si>
  <si>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</si>
  <si>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</si>
  <si>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</si>
  <si>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</si>
  <si>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</si>
  <si>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</si>
  <si>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</si>
  <si>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</si>
  <si>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</si>
  <si>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</si>
  <si>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</si>
  <si>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FÍSICA</t>
  </si>
  <si>
    <t>AVANCE %</t>
  </si>
  <si>
    <t>Diseñar acciones afirmativas con enfoque diferencial, para desarrollar capacidades y promover el bienestar socio emocional y los derechos de las mujeres en todas sus diversidades, en los sectores de la administración distrital y en las localidades</t>
  </si>
  <si>
    <t>Número de sectores que implementan acciones afirmativas con enfoque diferencial para desarrollar capacidades y promover los derechos de las mujeres en todas sus diversidades</t>
  </si>
  <si>
    <t>Constante</t>
  </si>
  <si>
    <t>Sectores</t>
  </si>
  <si>
    <t xml:space="preserve">Se cuantificará el número de sectores a impactar anualmente, que deben ser 15 en total; se espera que tales sectores transversalicen el enfoque diferencial e implementen acciones afirmativas con enfoque diferencial. </t>
  </si>
  <si>
    <t>ANUAL</t>
  </si>
  <si>
    <t xml:space="preserve">Documentos de implementación de las estrategias; actas de reuniones, listados de asistencia y reportes </t>
  </si>
  <si>
    <t>No hubo retrasos en esta acción</t>
  </si>
  <si>
    <t>N.A.</t>
  </si>
  <si>
    <t>Realizar atenciones socio jurídicas brindadas a través de la Estrategia Casa de Todas, a mujeres que realizan actividades sexuales pagadas.</t>
  </si>
  <si>
    <t>39.Atenciones socio jurídicas brindadas a través de la Estrategia Casa de Todas, a mujeres que realizan actividades sexuales pagadas (asesorias, seguimientos y valoraciones iniciales)</t>
  </si>
  <si>
    <t>Suma</t>
  </si>
  <si>
    <t>Atenciones</t>
  </si>
  <si>
    <t>Se cuantificarán mensualmente las atenciones sociojuridicas: valoraciones iniciales, asesorías y seguimientos.</t>
  </si>
  <si>
    <t>MENSUAL</t>
  </si>
  <si>
    <t>Reporte mensual de atenciones socio jurídicas realizadas-PMR Mensual</t>
  </si>
  <si>
    <t>Cuando se presentan inconvenientes para imprimir la documentación de los procesos legales de las mujeres atendidas, se envía documentación por medio de correo electrónico, lo cual se convierte en un medio legal de comunicación oficial.</t>
  </si>
  <si>
    <t>Realizar atenciones psicosociales brindadas a través de la Estrategia Casa de Todas, a mujeres que realizan actividades sexuales pagadas.</t>
  </si>
  <si>
    <t>40.Atenciones psicosociales brindadas a través de la Estrategia Casa de Todas, a mujeres que realizan actividades sexuales pagadas (asesorias, seguimientos y valoraciones iniciales)</t>
  </si>
  <si>
    <t>Se cuantificarán mensualmente las atenciones psicosociales: valoraciones iniciales, asesorías y seguimientos.</t>
  </si>
  <si>
    <t>Reporte mensual de atenciones psicosociales realizadas-PMR Mensual</t>
  </si>
  <si>
    <t xml:space="preserve">La meta proyectada para el periodo fue cumplida satisfactoriamente. Se presenta una alta tasa de ciudadanas que no es posible contactar en los teléfonos suministrados (buzón, fuera de servicio, equivocado, número errado) por lo que en muchos casos no es posible cumplir cabalmente con la agenda. </t>
  </si>
  <si>
    <t>Se intenta establecer contacto con las mujer en diferentes momentos del día y en diferentes días para tratar de garantizar la atención, junto con la búsqueda activa de las gestoras en el territorio.</t>
  </si>
  <si>
    <t>Realizar atenciones en trabajo social brindadas a través de la Estrategia Casa de Todas, a mujeres que realizan actividades sexuales pagadas.</t>
  </si>
  <si>
    <t>41.Atenciones en trabajo social brindadas a través de la Estrategia Casa de Todas, a mujeres que realizan actividades sexuales pagadas (asesorias, seguimientos y valoraciones iniciales)</t>
  </si>
  <si>
    <t>Se cuantificarán mensualmente las atenciones en trabajo social: valoraciones iniciales, asesorías y seguimientos.</t>
  </si>
  <si>
    <t>Reporte mensual de atenciones en trabajo social realizadas-PMR Mensual</t>
  </si>
  <si>
    <t>La meta del periodo se cumplió satisfactoriamente. Dado que todas las necesidades de las mujeres atendidas no es posible resolverlas desde la Casa de Todas, estas deben ser redireccionadas a las demás entidades con las cuales se tienen alianzas estrategicas.</t>
  </si>
  <si>
    <t>Se ha establecido contacto con las demás entidades del distrito y de orden nacional con el objeto de identificar los servicios disponibles, protocolos y rutas de atención, lo que permite direccionar la atención acorde a las necesidades de las personas atendidas.</t>
  </si>
  <si>
    <t>Transversalización del enfoque de género y diferencial para mujeres</t>
  </si>
  <si>
    <t>NA</t>
  </si>
  <si>
    <t xml:space="preserve">Elaborar e implementar 3 lineamientos con enfoque de derechos de las mujeres, de género y diferencial. </t>
  </si>
  <si>
    <t xml:space="preserve">1. No. de actividades internas de alistamiento, planeación y seguimiento.
</t>
  </si>
  <si>
    <t xml:space="preserve">Suma </t>
  </si>
  <si>
    <t xml:space="preserve">actividades
</t>
  </si>
  <si>
    <t xml:space="preserve">48 actividades de alistamiento anuales, 12 cada trimestre.
</t>
  </si>
  <si>
    <t xml:space="preserve">0
</t>
  </si>
  <si>
    <t xml:space="preserve">1. Evidencias de reuniones internas para alistar, planear y hacer seguimiento a la asistencia técnica
2. Documentos elaborados asociados a la asistencia técnica
</t>
  </si>
  <si>
    <t xml:space="preserve">No se presentaron </t>
  </si>
  <si>
    <t>2. No. de actividades de asistencia técnica para la transversalización del enfoque diferencial para mujeres implementadas.</t>
  </si>
  <si>
    <t>actividades</t>
  </si>
  <si>
    <t>40 actividades de asistencia anuales: 10 en el segundo trimestre, 15 en el tercer y 15 en el cuarto trimestre</t>
  </si>
  <si>
    <t>1. Evidencias de reuniones externas para asistencia técnica
2. Informes de asistencia técnica</t>
  </si>
  <si>
    <t>Implementación de acciones afirmativas dirigidas a las mujeres con enfoque diferencial y de género en Bogotá Bogotá</t>
  </si>
  <si>
    <t>Personas con acceso a los servicios sociales del Estado con enfoque diferencial.</t>
  </si>
  <si>
    <t>Número</t>
  </si>
  <si>
    <t>Mujeres atendidas en el marco del proyecto de inversión 7671</t>
  </si>
  <si>
    <t xml:space="preserve">No se presentan retrasos en la meta   </t>
  </si>
  <si>
    <t>Se realiza busqueda activa en el territorio a través de los recorridos. La atención se articula con las demás entidades y organizaciones que atienden población vulnerable y garantía de derechos.</t>
  </si>
  <si>
    <t>*Incluir tantas filas sean necesarias</t>
  </si>
  <si>
    <t>ELABORÓ</t>
  </si>
  <si>
    <t xml:space="preserve">Firma:  </t>
  </si>
  <si>
    <t>APROBÓ (Según aplique Gerenta de proyecto, Lider técnica y responsable de proceso)</t>
  </si>
  <si>
    <t>Firma:</t>
  </si>
  <si>
    <t>REVISÓ OFICINA ASESORA DE PLANEACIÓN</t>
  </si>
  <si>
    <t xml:space="preserve">VoBo. </t>
  </si>
  <si>
    <t>Nombre:</t>
  </si>
  <si>
    <t xml:space="preserve">Cargo: </t>
  </si>
  <si>
    <t>Cargo: Jefa Oficina Asesora de Planeación</t>
  </si>
  <si>
    <t xml:space="preserve">Versión: </t>
  </si>
  <si>
    <t xml:space="preserve">Fecha de Emisión: </t>
  </si>
  <si>
    <t>Página 1 de 3</t>
  </si>
  <si>
    <t>dd/mm/aaaa</t>
  </si>
  <si>
    <t>MAGNITUD META VIGENCIA ACTUAL</t>
  </si>
  <si>
    <t>mmmm</t>
  </si>
  <si>
    <t>RESERVAS VIGENCIA ANTERIOR</t>
  </si>
  <si>
    <t>PRESUPUESTO ASIGNADO EN LA VIGENCIA ACTUAL</t>
  </si>
  <si>
    <t>Recursos Programados</t>
  </si>
  <si>
    <t>Recursos Ejecutados (giros)</t>
  </si>
  <si>
    <t>Recursos Ejecutados</t>
  </si>
  <si>
    <t>Recursos girados</t>
  </si>
  <si>
    <t>EXPLICACIÓN: Información correspondiente a reservas presupuestales.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</si>
  <si>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</si>
  <si>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</si>
  <si>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</si>
  <si>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</si>
  <si>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 xml:space="preserve">FORMULACIÓN Y SEGUIMIENTO PLAN DE ACCIÓN </t>
  </si>
  <si>
    <t>ANEXO - TERRITORIALIZACIÓN</t>
  </si>
  <si>
    <t>Página 3 de 3</t>
  </si>
  <si>
    <t xml:space="preserve">PRORAMACIÓN </t>
  </si>
  <si>
    <t xml:space="preserve">SEGUIMIENTO </t>
  </si>
  <si>
    <t>PERIODO DE REPORTE:</t>
  </si>
  <si>
    <t>INDICADOR / META:</t>
  </si>
  <si>
    <t>Atenciones socio jurídicas brindadas a través de la Estrategia Casa de Todas, a mujeres que realizan actividades sexuales pagadas (asesorias, seguimientos y valoraciones iniciales)/Realizar atenciones socio jurídicas brindadas a través de la Estrategia Casa de Todas, a mujeres que realizan actividades sexuales pagadas
Territorializada para reporte de PMR, por tal razón solamente se incluye la magnitud que corresponde al número de atenciones.</t>
  </si>
  <si>
    <t>LOCALIDAD</t>
  </si>
  <si>
    <t>TOTAL POR LOCALIDAD</t>
  </si>
  <si>
    <t xml:space="preserve">ENFOQUE DIFERENCIAL </t>
  </si>
  <si>
    <t>GRUPO ETARIO</t>
  </si>
  <si>
    <t>Magnitud</t>
  </si>
  <si>
    <t>Presupuesto</t>
  </si>
  <si>
    <t>0-5</t>
  </si>
  <si>
    <t>6-12</t>
  </si>
  <si>
    <t>13-17</t>
  </si>
  <si>
    <t>18-26</t>
  </si>
  <si>
    <t>27-59</t>
  </si>
  <si>
    <t>más de 59</t>
  </si>
  <si>
    <t xml:space="preserve">Bogotá Distrito Capital </t>
  </si>
  <si>
    <t xml:space="preserve">Se atendieron 192 mujeres de las cuales:
*0 Indígenas
*3 Afrodescendientes
*0 Raizales, palenqueras 
*1 Rrom
*17 Lesbiana, Bisexuales, Gay
*12 Transgeneristas
*0 Rural y/o campesina
*23 Condición discapacidad
*6 Víctimas conflicto armado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</si>
  <si>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</si>
  <si>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</si>
  <si>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</si>
  <si>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</si>
  <si>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</si>
  <si>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</si>
  <si>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</si>
  <si>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</si>
  <si>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</si>
  <si>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</si>
  <si>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</si>
  <si>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</si>
  <si>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</si>
  <si>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</si>
  <si>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</si>
  <si>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</si>
  <si>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</si>
  <si>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</si>
  <si>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</si>
  <si>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</si>
  <si>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</si>
  <si>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Atenciones psicosociales brindadas a través de la Estrategia Casa de Todas, a mujeres que realizan actividades sexuales pagadas (asesorias, seguimientos y valoraciones iniciales)/Realizar atenciones psicosociales brindadas a través de la Estrategia Casa de Todas, a mujeres que realizan actividades sexuales pagadas.
Territorializada para reporte de PMR, por tal razón solamente se incluye la magnitud que corresponde al número de atenciones.</t>
  </si>
  <si>
    <t>Se atendieron 129 mujeres de las cuales:
*2 Indígenas
*7 Afrodescendientes
*0 Raizales, palenqueras 
*0 Rrom
*8 Lesbiana, Bisexuales, Gay
*5 Transgeneristas
*0 Rural y/o campesina
*12 Condición discapacidad
*5 Víctimas conflicto armado</t>
  </si>
  <si>
    <t>Atenciones en trabajo social brindadas a través de la Estrategia Casa de Todas, a mujeres que realizan actividades sexuales pagadas (asesorias, seguimientos y valoraciones iniciales)/Realizar atenciones en trabajo social brindadas a través de la Estrategia Casa de Todas, a mujeres que realizan actividades sexuales pagadas.
Territorializada para reporte de PMR, por tal razón solamente se incluye la magnitud que corresponde al número de atenciones.</t>
  </si>
  <si>
    <t>Se atendieron 385 mujeres de las cuales.
*5 Indígenas
*15 Afrodescendientes
*0 Raizales, palenqueras 
*2 Rrom
*30 Lesbiana, Bisexuales, Gay
*17 Transgeneristas
*0 Rural y/o campesina
*32 Condición discapacidad
*28 Víctimas conflicto armado</t>
  </si>
  <si>
    <t>PESTAÑA No. 1 META 1..n</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</si>
  <si>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</si>
  <si>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</si>
  <si>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</si>
  <si>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</si>
  <si>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</si>
  <si>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</si>
  <si>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</si>
  <si>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</si>
  <si>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</si>
  <si>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</si>
  <si>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</si>
  <si>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</si>
  <si>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</si>
  <si>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</si>
  <si>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</si>
  <si>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</si>
  <si>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</si>
  <si>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SEGUIMIENTO INDICADORES</t>
  </si>
  <si>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</si>
  <si>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</si>
  <si>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</si>
  <si>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</si>
  <si>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</si>
  <si>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</si>
  <si>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</si>
  <si>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</si>
  <si>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</si>
  <si>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En este campo se debe diligenciar la descripción del plan al cual le aporta la acción e indicador a medir, en los casos que no aplique indicar con un N/A.</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</si>
  <si>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</si>
  <si>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</si>
  <si>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</si>
  <si>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</si>
  <si>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</si>
  <si>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</si>
  <si>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</si>
  <si>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</si>
  <si>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</si>
  <si>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</si>
  <si>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t>En este campo se debe diligenciar:
1.La descripción detallada de la medición del indicador.
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2.La representación matemática del cálculo del indicador.
Ejemplo 2: No. Capacitaciones realizadas / No. Capacitaciones programadas *100</t>
  </si>
  <si>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</si>
  <si>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</si>
  <si>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</si>
  <si>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</si>
  <si>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</si>
  <si>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</si>
  <si>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</si>
  <si>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</si>
  <si>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</si>
  <si>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</si>
  <si>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</si>
  <si>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</si>
  <si>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</si>
  <si>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</si>
  <si>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Este anexo, responde a la necesidad de plasmar la información correspondiente que las acciones (derivadas de metas PDD, metas proyecto de inversión, indicadores PMR, actividades) que se territorializan incluyendo el enfoque diferencial y según grupo etario.</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</si>
  <si>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</si>
  <si>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</si>
  <si>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</si>
  <si>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</si>
  <si>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</si>
  <si>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</si>
  <si>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</si>
  <si>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</si>
  <si>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</si>
  <si>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</si>
  <si>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</si>
  <si>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</si>
  <si>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</si>
  <si>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</si>
  <si>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</si>
  <si>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</si>
  <si>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</si>
  <si>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</si>
  <si>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</si>
  <si>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</si>
  <si>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</si>
  <si>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14 y 27 años)</t>
  </si>
  <si>
    <t>LGBTI</t>
  </si>
  <si>
    <t>Plan Anual de Adquisiciones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</si>
  <si>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</si>
  <si>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</si>
  <si>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</si>
  <si>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</si>
  <si>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</si>
  <si>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Adultez (Entre 27 y 59 años)</t>
  </si>
  <si>
    <t xml:space="preserve">Indigena </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</si>
  <si>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</si>
  <si>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</si>
  <si>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</si>
  <si>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</si>
  <si>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</si>
  <si>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</si>
  <si>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</si>
  <si>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Mayores (Igual o superior a 60 años)</t>
  </si>
  <si>
    <t>Afrodescendiente</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</si>
  <si>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</si>
  <si>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</si>
  <si>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</si>
  <si>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</si>
  <si>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</si>
  <si>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</si>
  <si>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Raizal</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</si>
  <si>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</si>
  <si>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</si>
  <si>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</si>
  <si>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</si>
  <si>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</si>
  <si>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Rrom</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</si>
  <si>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</si>
  <si>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</si>
  <si>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</si>
  <si>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</si>
  <si>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</si>
  <si>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</si>
  <si>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</si>
  <si>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</si>
  <si>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</si>
  <si>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</si>
  <si>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</si>
  <si>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</si>
  <si>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</si>
  <si>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</si>
  <si>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</si>
  <si>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</si>
  <si>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</si>
  <si>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</si>
  <si>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</si>
  <si>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</si>
  <si>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</si>
  <si>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</si>
  <si>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</si>
  <si>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CONTENIDOS</t>
  </si>
  <si>
    <t xml:space="preserve">Plan de seguridad y privacidad de la información </t>
  </si>
  <si>
    <t>GESTIÓN DEL SISTEMA DISTRITAL DE CUIDADO</t>
  </si>
  <si>
    <t>CASOS NUEVOS</t>
  </si>
  <si>
    <t>Plan de participación ciudadana</t>
  </si>
  <si>
    <t>GESTIÓN  TALENTO HUMANO</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</si>
  <si>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</si>
  <si>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</si>
  <si>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</si>
  <si>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</si>
  <si>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</si>
  <si>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</si>
  <si>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</si>
  <si>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</si>
  <si>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</si>
  <si>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</si>
  <si>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</si>
  <si>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</si>
  <si>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</si>
  <si>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</si>
  <si>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</si>
  <si>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</si>
  <si>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</si>
  <si>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</si>
  <si>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</si>
  <si>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</si>
  <si>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</si>
  <si>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</si>
  <si>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</si>
  <si>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</si>
  <si>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</si>
  <si>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</si>
  <si>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</si>
  <si>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</si>
  <si>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</si>
  <si>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</si>
  <si>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</si>
  <si>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</si>
  <si>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</si>
  <si>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</si>
  <si>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</si>
  <si>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</si>
  <si>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</si>
  <si>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</si>
  <si>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</si>
  <si>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</si>
  <si>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</si>
  <si>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</si>
  <si>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</si>
  <si>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</si>
  <si>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</si>
  <si>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</si>
  <si>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</si>
  <si>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</si>
  <si>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</si>
  <si>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</si>
  <si>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</si>
  <si>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</si>
  <si>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</si>
  <si>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</si>
  <si>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</si>
  <si>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</si>
  <si>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</si>
  <si>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</si>
  <si>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</si>
  <si>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</si>
  <si>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</si>
  <si>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</si>
  <si>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</si>
  <si>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</si>
  <si>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</si>
  <si>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</si>
  <si>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</si>
  <si>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</si>
  <si>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</si>
  <si>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</si>
  <si>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</si>
  <si>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</si>
  <si>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</si>
  <si>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</si>
  <si>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</si>
  <si>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</si>
  <si>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</si>
  <si>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</si>
  <si>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</si>
  <si>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</si>
  <si>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</si>
  <si>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</si>
  <si>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</si>
  <si>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</si>
  <si>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</si>
  <si>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</si>
  <si>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</si>
  <si>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</si>
  <si>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</si>
  <si>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</si>
  <si>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</si>
  <si>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</si>
  <si>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La meta proyectada para el periodo fue cumplida satisfactoriamente. Por la dificultad para adelantar la impresión de documentos en la Casa de Todas, ya sea escritos proyectados, como formatos para trámites, se generan demoras en la atención, debiendo finalmente ser remitidos a las mujeres por correo electrónico, lo que les causa inconvenientes ya que deben incurrir en los gastos de internet y de impresión.</t>
  </si>
  <si>
    <t>Se contribuye en la eliminación de estereotipos, imaginarios y representaciones de discriminación para las mujeres en sus diferencias y diversidad, a través de fomentar la incorporación del enfoque diferencial en los diferentes sectores de la administración distrital, visibilizar las agendas políticas de las mujeres  por medio de las conmemoraciones, crear herramientas con enfoque diferencial, así como vincular a las  mujeres en las actividades de la Dirección. De igual manera, se visibilizó las voces de las mujeres en sus diferencias y diversidad, sobre cómo desean ser atendidas, reconociendo su particularidades, cosmovisión y cosmogonia.</t>
  </si>
  <si>
    <t xml:space="preserve">De enero a julio se elaboró propuesta metodológica para formulación del plan de fortalecimiento y validó en comité directivo. Se avanzó en identificación y consolidación de información de los servicios que presta la SDMujer. Se elaboró y remitió memorando interno para designación de enlaces de las dependencias responsables de los servicios para formulación del Plan de fortalecimiento y realizó primera reunión de coordinación. Se elaboraron y remitieron al equipo de enlaces las metodologías para realizar grupos focales para identificar barreras de acceso a los servicios con ciudadanas usuarias y servidoras y servidores que prestan los servicios, se propuso cronograma de grupos focales y se realizaron tres reuniones de coordinación para validar las metodologías y los grupos focales propuestos. Se realizaron 15 grupos focales para identificar barreras de acceso a los servicios; 9 con servidoras y servidores y 6 con usuarias. Se realizaron 9 reuniones de coordinación y preparación de los grupos focales y para coordinar aplicación de encuestas a usuarias. Agosto: Se realizó reunión con Subsecretaría de Fortalecimiento de Capacidades y Oportunidades para orientar la aplicación de encuestas (02-08-2022). Se revisó y consolidó el resultado de las encuestas aplicadas a usuarias para identificar barrera de acceso a los servicios (09-08-2022). Se realizaron 4 reuniones para consolidar información de los grupos focales (17, 27, 29, 30-08-2022). Se realizó reunión con la Directora de Enfoque Diferencial para acordar procedimiento de aprobación del plan de fortalecimiento (17-08-2022). Se realizó reunión con equipo de enlaces de las dependencias para entregar información consolidada de grupos focales para su validación (31-08-2022). Se formuló documento preliminar del Plan de Fortalecimiento (31-08-2022). </t>
  </si>
  <si>
    <t>Con el objetivo de continuar con el diseño de la Estrategia de Fortalecimiento de Capacidades, se propuso continuar con la revisión del documento, analizando los objetivos planteados, tanto el general como los específicos. De igual manera, revisar las dos acciones propuestas las cuales son: a. Cualificar la participación de las mujeres y b. El ejercicio de representación de las mujeres. El paso a seguir en el mes de marzo es socializar el documento a las demás direcciones de la Secretaría para retroalimentación.
En el mes de marzo  el equipo de corresponsabilidad realizó varias reuniones con el fin de construir el manual operativo del lineamiento de corresponsabilidad. Dentro de esta construcción se definió la viabilidad técnica, de que la estrategia de fortalecimiento de capacidades ciudadanas de las mujeres es una línea a desarrollar en el lineamiento propuesto. Por tal razón las acciones de la estrategia se incluyeron dentro del manual operativo. También se realizó una reunión con la Veeduría Distrital para concertar acciones de articulación encaminadas al fortalecimiento de capacidades ciudadanas de la mujeres. Queda un compromiso de una próxima reunión para definir acciones de articulación conjuntas.
En abril se asistió a la reunión convocada para el Equipo de Corresponsabilidad de la Subsecretaría del Cuidado y Políticas de Igualdad con el objetivo de revisar el procedimiento de Fortalecimiento de la Participación y representación de las mujeres en instancias y procesos organizativos del Distrito Capital, ya que dicho procedimiento debe estar articulado con la estrategia de fortalecimiento, el cual se va a actualizar en el mes de mayo junto con la Dirección de Territorialización de Derechos y Participación
En el mes de mayo se realizaron reuniones con la dirección de territorialización, con el fin de revisar y actualizar el procedimiento de fortalecimiento a organizaciones, el cual es la base para la promoción de la participación de las mujeres.
En el mes de junio se realizaron reuniones con la dirección de territorialización, con el fin de revisar y actualizar el procedimiento de fortalecimiento a organizaciones, el cual es la base para la promoción de la participación de las mujeres. Se propuso realizar un instructivo de asistencia técnica que está en proceso de formulación.
En el mes de julio se realizaron reuniones con el fin de revisar y actualizar el procedimiento de fortalecimiento a organizaciones, el cual es la base para la promoción de la participación de las mujeres. Se realizo una propuesta de instructivo de asistencia técnica que está en proceso de formulación.
En el mes de agoto se reviso y actualizó el procedimiento de fortalecimiento a organizaciones, el cual es la base para la promoción de la participación de las mujeres, se remitió a  aprobación de la Dirección de Territorialización. Se realizo una propuesta de instructivo de asistencia técnica que está en proceso de revisión.
En el mes de septiembre conjuntamente con el equipo de la dirección de territorialización se ajusto el procedimiento de fortalecimiento a organizaciones de mujeres, el cual fue aprobado por la Subsecreatria y la directora de Territorialización. Se presentó a la Oficina Asesora de Planeación y se cargo la versión definitiva  en Kawak, junto con el formato de inscripción de organizaciones.</t>
  </si>
  <si>
    <t>En febrero y marzo se realizó mesa de trabajo virtual del equipo de promoción de la participación y representación de las mujeres de la Subsecretaría del Cuidado y Políticas de Igualdad, en donde se crearon estrategias para realizar el Manual Operativo de la Estrategia de Corresponsabilidad, se diseñó la matriz para su elaboración, el equipo de corresponsabilidad realizó varias reuniones con el fin de construir el Manual. Dentro de esta construcción se definió la viabilidad técnica, de que la estrategia de fortalecimiento de capacidades ciudadanas de las mujeres es una línea a desarrollar en el lineamiento propuesto, por lo que las acciones de la estrategia se incluyeron dentro del manual operativo. Se realizó la presentación del Manual a la Coordinadora del equipo y las dudas que hay al respecto en cuanto a su implementación.
En abril se revisó y actualizó el procedimiento de Pactos de Corresponsabilidad. Se participó en las reuniones realizadas con la Dirección de Territorialización de Derechos y Participación, con el objetivo de revisar y ajustar conjuntamente este procedimiento, se apoyó ajustándolo de acuerdo a los comentarios y observaciones realizadas. El manual aún se encuentra en revisión.
En el mes de mayo se realizaron mesas de trabajo virtuales del equipo de la Subsecretaría del Cuidado y Políticas de Igualdad, se actualizó el instrumento de seguimiento al Pacto de Corresponsabilidad entre el CCM y los alcaldes y alcaldesas locales, retroalimentando las respuestas que han enviado las alcaldías locales. Con la Dirección de Territorialización de Derechos y Participación, se generaron acuerdos frente al seguimiento al Pacto de Corresponsabilidad entre el CCM y los alcaldes y alcaldesas locales. Se realizó PPT de informe cronológico del Pacto de Corresponsabilidad entre el Consejo Consultivo de Mujeres y los alcaldes y alcaldesas, los referentes de las alcaldías locales. La estrategia de corresponsabilidad fue devuelta por la Subsecretaria para correcciones.
En el mes de junio se realizaron mesas de trabajo virtuales del equipo de la Subsecretaría del Cuidado y Políticas de Igualdad, se actualizó el instrumento de seguimiento al Pacto de Corresponsabilidad entre el CCM y los alcaldes y alcaldesas locales, retroalimentando las respuestas que han enviado las alcaldías locales. Con la Dirección de Territorialización de Derechos y Participación, se generaron acuerdos frente al seguimiento al Pacto de Corresponsabilidad entre el CCM y los alcaldes y alcaldesas locales. Se propuso realizar en el mes de julio nueva reunión con los alcaldes y alcaldesas, los referentes de las alcaldías locales. La estrategia de corresponsabilidad fue corregida y remitida a la Subsecretaria para correcciones junto con el manual operativo.
En el mes de julio se realizaron mesas de trabajo virtuales del equipo de la Subsecretaría del Cuidado y Políticas de Igualdad para realizar ajustes al lineamiento de corresponsabilidad y al manual operativo, para enviar una versión final para aprobación de la Subsecretaria. Se actualizó el instrumento de seguimiento al Pacto de Corresponsabilidad entre el CCM y los alcaldes y alcaldesas locales, retroalimentando las respuestas que han enviado las alcaldías locales. Con la Dirección de Territorialización de Derechos y Participación, se generaron acuerdos frente al seguimiento al Pacto de Corresponsabilidad entre el CCM y los alcaldes y alcaldesas locales. Se realizó nueva reunión con los alcaldes y alcaldesas, los referentes de las alcaldías locales y se formalizó de nuevo el pacto con 5 compromisos.
El 22 de agosto de 2022 Se llevó a cabo mesa de trabajo del equipo de promoción de la participación y representación de las mujeres y del equipo de gestión local de la Dirección de Territorialización de Derechos , en donde se trabajó en la preparación de la mesa de trabajo con profesionales puntos focales de las alcaldías locales sobre el Pacto de Corresponsabilidad.  Se llevó a cabo mesa de trabajo del equipo de promoción de la participación y representación de las mujeres, el 25 de agosto de 2022, en donde se realizaron los ajustes a la PPT para la mesa de trabajo con profesionales puntos focales de las alcaldías locales sobre el Pacto de Corresponsabilidad.  Se llevó a cabo mesa de trabajo con profesionales puntos focales de las alcaldías locales, convocada por el equipo de gestión local de la Dirección de Territorialización de Derechos, el 30 de agosto de 2022, en donde se trabajó en los nuevos acuerdos del Pacto de Corresponsabilidad. 
El 9 de septiembre se llevó a cabo mesa de trabajo del equipo de promoción de la participación y representación de las mujeres con profesionales de la Estrategia de Constructores Locales de la Secretaría de Gobierno, en donde proporcionaron información de la estrategia. 
Se llevó a cabo mesa de trabajo del equipo de promoción de la participación y representación de las mujeres con profesional de la Dirección de Territorialización de Derechos, el 23 de septiembre de 2022, en donde se trabajó en la Estrategia de Constructores Locales de la Secretaría de Gobierno para dar respuesta al compromiso del Pacto de Corresponsabilidad. 
Se llevó a cabo mesa de trabajo del equipo de promoción de la participación y representación de las mujeres, el 30 de septiembre de 2022, en donde trabajó en la construcción del formulario Forms para el Pacto de Corresponsabilidad. La Subsecretaria aprobó el lineamiento de corresponsabilidad y el manual operativo, por lo que se continua con la implementación a través del CTPD, Subcomisión de género y pactos de corresponsabilidad</t>
  </si>
  <si>
    <t>Nombre: Diana María Parra Romero</t>
  </si>
  <si>
    <t>Cargo: Subsecretaria del Cuidado y Politicas de Igualdad</t>
  </si>
  <si>
    <r>
      <t>Cargo:</t>
    </r>
    <r>
      <rPr>
        <sz val="10"/>
        <rFont val="Times New Roman"/>
        <family val="1"/>
      </rPr>
      <t xml:space="preserve"> </t>
    </r>
    <r>
      <rPr>
        <b/>
        <sz val="10"/>
        <rFont val="Times New Roman"/>
        <family val="1"/>
      </rPr>
      <t>Profesional - Dirección de Enfoque Diferencial</t>
    </r>
  </si>
  <si>
    <t xml:space="preserve">Proceso de Información con las candidatas inscritas por Localidad y Diferencias y Diversidad. El 4 de febrero se publicó el documento con los listados parciales de las organizaciones y candidatas que subsanaron documentos de acuerdo a las observaciones realizadas  El 7 de febrero se publicaron los listados finales de las organizaciones de mujeres y candidatas que cumplieron con los requisitos definidos para el proceso eleccionario. Los días 14, 15, 16, 17, 18, y 21 de febrero se adelantaron las Asambleas de Elección, en las cuales se eligieron a 14 consejeras consultivas para las representaciones por Localidad, Derechos, Diferencias y Diversidad. El 25 de febrero fueron publicadas las respectivas actas de las Asambleas de Elección, con el objetivo de recoger observaciones sobre las mismas a partir del 28 de febrero.
En el mes de marzo se expidió la resolución 066 de 2022, por medio de la cual se reconoce a las 14 consejeras consultivas elegidas en la asamblea del mes de febrero de 2022, y las 3 consejeras consultivas que fueron delegadas. De igual manera, el 8 de marzo se lleva a cabo el acto protocolario de reconocimiento de estas 17 nuevas consejeras consultivas.
Por otro lado, se adelanto el proyecto de resolución, para el nuevo proceso eleccionario que se debe adelantar para la elecciones de las 17 representaciones faltantes dentro del CCM.
Durante el mes de abril, se realizaron los ajustes del proyecto de resolución para el nuevo proceso eleccionario que se debe adelantar para las 17 representaciones faltantes. 
El 8 y 11 de abril se llevaron a cabo dos reuniones internas de la Subsecretaría del Cuidado y Políticas de Igualdad, con el objetivo de revisar los ajustes solicitados por la Oficina Asesora Jurídica de la SDMujer, realizar los mismos y elaborar un anexo técnico con las justificaciones de las modificaciones propuestas en la resolución. 
De igual manera, se realizaron socializaciones sobre el proceso eleccionario en las siguientes fechas:
El 1 de abril se realizó una socialización  con 7 mujeres interesadas en el proceso eleccionario, a quienes se les presentó las representaciones faltantes por elección y los requisitos a cumplir.
El 5 de abril se llevo a cabo una reunión con organizaciones y espacios de participación de mujeres afrocolombianas, negras, palenqueras y raizales, con el objetivo de conocer como sería su participación en el proceso eleccionario, y se realizó la propuesta de hacer la delegación de la consejera consultiva para la representación de mujeres afrocolombianas. 
El 7 de abril se participó en el COLMYG de Fontibón, en el cual se presento el estado actual del proceso eleccionario y cual era el caso de la Localidad para elegir a su consejera consultiva. 
Durante el mes de mayo se llevo a cabo la publicación del proyecto de resolución del proceso eleccionario del CCM en LegalBog para recibir comentarios por parte de la ciudadanía hasta el 16 de mayo, una vez revisado y considerando que no se recibieron comentarios al respecto, se procedió a expedir el 18 de mayo el acto administrativo con la información del proceso eleccionario 2022 a través de la Resolución 0137 de 2022 con las 17 representaciones a elegir, los requisitos para la inscripción y el cronograma previsto para adelantar el proceso. 
De igual manera se adelantaron reuniones con las Direcciones de Territorialización de Derechos y Participación, de  Derechos y Diseño de Política y de Enfoque Diferencial, para revisar las estrategias a seguir para lograr la elección de las 17 representaciones vacantes dentro del CCM.
Durante el mes de junio, se realizó la revisión de requisitos de las organizaciones y candidatas inscritas para el proceso eleccionario. El 14 y 30 de junio se llevaron a cabo las sesiones de Proceso de Información con las candidatas. El 21 de junio se publicó el documento con la lista de las organizaciones y candidatas que debían subsanar documentos, entre el 22 y el 24 de junio se recibieron las subsanaciones, y el 29 de junio se publicó el documento con los listados de las organizaciones y candidatas que subsanaron requisitos. 
De igual manera, en el mes de junio se elaboró el proyecto de resolución por medio del cual se modifica el cronograma del proceso eleccionario establecido en la Resolución 137 de 2022, para las 11 representaciones en las cuales no se recibieron inscripciones, o el mínimo de (2) candidatas para llevar a cabo las Asambleas de Elección. este proyecto de resolución fue publicado en LegalBog el 17 de junio, y estuvo abierto para comentarios de la ciudadanía hasta el 24 de junio. 
El 28 de junio se llevó a cabo una reunión con el equipo de la SDMujer que apoya el proceso eleccionario, para definir el cronograma de las asambleas de elección que se llevarán a cabo en el mes de julio.
Los días 7, 8 y 12 de julio, se realizaron seis asambleas de elección correspondientes a las siguientes representaciones: Derecho al Trabajo en Condiciones de Igualdad y Dignidad, Mujeres Excombatientes Constrcutoras de Paz, Mujeres que hacen parte de Juntas de Acción Comunal, y de las Localidad de Suba, Rafael Uribe Uribe Uribe y Sumapaz. 
De igual manera, el 21 de julio se publiron los resultados finales de las asamleas de elección en la sección del proceso eleccionario de la página web de la SDMujer.
Se expidió la Resolución 0230 de 2022 por medio de la cual se reconoce a las seis consejeras consultivas electas, así mismo el 29 de julio se realizó el acto de reconocimiento simbólico de las consejeras consultivas.
Durante el mes de agosto, se expidió la Resolución 0264 de 2022, por  medio de la cual se establece el proceso elecerrionario para las once representaciones vacantes dentro del Consejo Consultivo de Mujeres. 
Los días 11 y 12 de agosto se llevaron a cabo reuniones con las Direcciones de Enfoque Diferencial y Territorialización, con el objetivo de revisar las representaciones vacantes, y defnir estrategias para divulgar el proceso eleccionario y motivar la inscripción de las organizaciones al proceso eleccionario del Consejo Consultivo de Mujeres. 
Del 8 al 30 de agosto, se mantuvo abierto el proceso de inscripción por parte de las organizaciones interesadas en participar como votantes y candidatas, dentro del proceso eleccionario, de igual manera, durante los días en mención, se realizaron convocatorias y divulgación del proceso eleccionario, y se apoyó con la inscripción de las organizaciones
Durante el mes de septiembre, se realizó la revisión de los documentos recibidos por parte de las organizaciones y candidatas para la inscripción del proceso eleccionario y se publicaron en la página web de la SDMujer lo siguientes documentos:
1. El 7 de septiembre se publicó el documento de las organizaciones y candidatas que debían subsanar requisitos.
2. El 13 de septiembre se publicaron los listados parciales de las organizaciones y candidatas que cumplieron requisitos.
3. El 15 de septiembre se publicaron los listados de las organizaciones y candidatas habilitadas para las Asambleas de Elección
El día 1 de septiembre se llevó  a cabo el proceso de información con las candidatas inscritas al proceso eleccionario, y los días 19 y 21 de septiembre se llevaron a cabo siete asambleas de elección de las siguientes representaciones: Localidades de Usaquén, Fontibón, Puente Aranda y Ciudad Bolívar, Mujeres con discapacidad, Mujeres jóvenes y Mujeres feministas y académicas.
El día 23 de septiembre se publicaron en la página web de la SDMujer, las actas de las Asambleas de Elección, y el 28 de septiembre se publicó el documento con la respuesta a las observaciones recibidas, así como los resultados definitivos de las elecciones realizadas. 
El día 6 de octubre, se llevó a cabo el acto de reconocimiento de las 8 consejeras consultivas electas en las Asambleas de Elección del mes de septiembre, para las siguientes representaciones:  Localidades de Usaquén, Fontibón, Puente Aranda y Ciudad Bolívar, Mujeres con discapacidad, Mujeres jóvenes y Mujeres feministas y académicas.
En el mes de octubre, se expidio la Resolución 0345 de 2022, por medio de la cual se reconoció a las 8 consejeras consultivas mencionadas anteriormente. </t>
  </si>
  <si>
    <t>Reserva ejecutada al 100%</t>
  </si>
  <si>
    <t>No se presentan retrasos</t>
  </si>
  <si>
    <t>Reporte SIMISIONAL</t>
  </si>
  <si>
    <t xml:space="preserve">A octubre se cumplió con los 15  sectores de la administración distrital: Educación; Mujeres; Cultura, Recreación y Deporte; Gobierno; Hábitat; Integración Social; Salud; Seguridad, Convivencia y Justicia; Ambiente; Movilidad; Hacienda; Planeación; Secretaría Jurídica; Gestión Pública y Desarrollo Económico. </t>
  </si>
  <si>
    <t>Nombre: Marcia Yazmin Castro Ramírez</t>
  </si>
  <si>
    <t xml:space="preserve">Cargo: Directora de Enfoque Diferencial </t>
  </si>
  <si>
    <t>Nombre: Mireya Leuro Vásquez</t>
  </si>
  <si>
    <t xml:space="preserve">La reserva se ejecutó en su totalidad </t>
  </si>
  <si>
    <t xml:space="preserve">Al mes de noviembre se desarrollaron espacios con mujeres afrocolombianas, firma del Memorando de entendimiento con Periferia, el desarrollo de espacios pedagógicos EMAA con 81 mujeres de organizaciones de recicladoras de oficio, reunión con la organización de ASDOWN para articular acciones en los centros CRECER y AMAR de la SDIS y fortalecimiento de capacidades al equipo de ACNUR. Gestión para compra de kits por parte de ACNUR. Realización del segundo espacio de fortalecimiento con 17 enlaces SOFIA. Se realizó reunión con la Secretaría de Educación para definir acuerdos para el inicio de la fase con entornos escolares, se desarrollaron espacios EMAA con 93 mujeres jóvenes de Ciudad Bolívar, en articulación con IDIPRON. Se avanzó con la gestión de los kits para mujeres migrantes y refugiadas, en la articulación con ACNUR. Se llevó a cabo cuatro espacios EMAA con 79 mujeres en ASP con ACNUR, se entregaron 50 kits que donó ACNUR. Se llevó a cabo un espacio EMAA con 37 mujeres rurales, se realizó una sesión EMAA con 7 mujeres indígenas Embera Dovida, se realizaron 3 pilotajes en colegios, 2 en el José María Vargas Vila participaron 52 niñas y mujeres y 1 pilotaje en el Colegio Paraiso Mirador en el que participaron 13 niñas y mujeres. Se realizaron 2 sesiones EMAA en las que participaron 15 mujeres Lesbianas y bisexuales.Se realizó jornada de fortalecimiento a 23 personas del equipo del proyecto 1818 sobre cuidado menstrual y el uso de la copa, en Usme. Se realizó espacio de EMMA con 7 personas del equipo de Casa de la Mujer, quienes implementaran acciones de cuidado menstrual en las manzanas de cuidado. Se realizaron 2 pilotajes en el colegio Pasquilla de Ciudad Bolívar en el que participaron 29 niñas y mujeres. Es de indicar que, al mes de octubre se cumplió el 100% de lo proyectado en la actividad. </t>
  </si>
  <si>
    <t xml:space="preserve">No se presentan. </t>
  </si>
  <si>
    <t xml:space="preserve">La estrategia de educación flexible permite la reducción de las barreras de acceso al derecho a la educación de las mujeres, en este sentido se impactó en el 2022 a: 
13 mujeres graduandas de Edu. Flexible desde Casa de Todas I semestre y 10 mujeres graduadas II Semestre de 2022. 
15 mujeres graduandas de Edu. Flexible pilotaje en El Castillo de las Artes - II semestre. 
327 mujeres citadas y acompañadas para la presentación en las pruebas Saber 11° Calendario A. 
231  mujeres participantes de las ferias semestrales de Educación Superior para mujeres diversas. 
43 mujeres certificadas en los cursos de inglés básico del SENA. 
33 mujeres sordas certificadas en el curso de habilidades digitales del SENA. 
95 mujeres (aprendices SENA) sensibilizadas en procesos formativos sobre enfoque de género y diferencial con el SENA. </t>
  </si>
  <si>
    <t xml:space="preserve">No se presentan
</t>
  </si>
  <si>
    <t>Durante el mes de diciembre se adelantaron 4 actividades de alistamiento, así: 1
•1 jornada para preparar la reunión mensual de seguimiento a la asistencia técnica (9, 13 y 14-12-2022)
•1 reunión de seguimiento mensual a la asistencia técnica con el equipo de profesionales (14-12-2022) 
•1 reunión para preparar la evaluación interna de la asistencia técnica con el equipo de profesionales (19-12-2022)
•1 reunión de evaluación interna de la asistencia técnica brindada a los sectores de la administración distrital en 2022, con el equipo de profesionales (20-12-2022)</t>
  </si>
  <si>
    <t>Durante el mes de diciembre se adelantaron 5 actividades de asistencia técnica, así: 
•Una actividad de formación realizada con el sector Gobierno: 1 taller con 19 servidoras y servidores de la Subdirección de Libertad Religiosa y de Conciencia de la Dirección de Derechos Humanos de la Secretaría de Gobierno sobre reconocimiento y abordaje de mujeres con discapacidad (15-12-2022).
•Una actividad de acompañamiento implementada con el Sector Hábitat: Revisión final y remisión de aportes para incorporar el enfoque diferencial en el Manual de Gestión Social de la Caja de Vivienda Popular (7-12-2022).
•Una actividad de implementación realizada con el Sector Hábitat: Acompañamiento a la Unidad Administrativa Especial de Servicios Públicos – UAESP en el 2do. encuentro con mujeres recicladoras de oficio (12-12-2022).
•Una actividad de evaluación implementada con tres sectores (Gobierno, Educación y Hábitat): Evaluación de la asistencia técnica brindada a la Subdirección de Libertad Religiosa y de Conciencia de la Secretaría de Gobierno (15-12-2022); evaluación final de la asistencia técnica y el Convenio 914 de 2021 suscrito con Secretaría de Educación – Dirección de Inclusión e Integración de Poblaciones para educación flexible y transversalización del enfoque diferencial (15-12-2022) y evaluación final de la asistencia técnica brindada a las entidades que hacen parte del Sector Hábitat (19-12-2022).</t>
  </si>
  <si>
    <t>Durante el año 2022 se atendieron 667 mujeres en el área psicosocial y se realizaron 2.355 atenciones desagregadas así: 413 asesorías, 1705 seguimientos y 237 valoraciones iniciales. Teniendo en cuenta la contingencia a nivel global de la pandemia COVID-19 la atención se prestó de manera presencial y telefónica acorde a la agenda programada.  Se han realizado primeras atenciones y orientación psicosocial con énfasis en auto cuidado, autoestima, gestión emocional, reconocimiento de habilidades y recursos de afrontamiento. El equipo psicosocial se ha posicionado en la atención a las mujeres que RASP a través de técnicas como la escucha activa y comprensiva y brindando herramientas que les permiten dar trámite a sus emociones y de esta manera se aporta a la solución de sus malestares emocionales.</t>
  </si>
  <si>
    <t xml:space="preserve">Durante el mes de enero se realizó el proceso de contratación del personal de atención de la Casa de Todas; sin embargo, este hecho fue contemplado en la planeación de las metas por tanto no se presentaron retrasos en el cumplimiento de las mismas. Con el equipo completo a partir del mes de febrero las metas fueron cumplidas a cabalidad hasta el mes de diciembre. Derivado de la emergencia sanitaria por COVID-19 la atención se ha alternado entre presencial y telefónica. </t>
  </si>
  <si>
    <t>Durante el mes de diciembre de 2022, se atendieron en el área jurídica 317 mujeres y se realizaron 543 atenciones desagregadas así: 65 asesorías, 454 seguimientos y 24 valoraciones iniciales. Se cumplió en forma oportuna y efectiva con la orientación y asesoría requerida por las personas asistentes, con la entrega de la información precisa sobre los temas consultados y las acciones legales pertinentes respectivas.  Se prestó atención telefónica y presencial, con mayor participación de las mujeres beneficiarias e incluso con mayor cumplimiento de la agenda por parte de las señoras citadas. En el marco de estas atenciones, durante el periodo se logró además de dar las asesorías requeridas, el seguimiento a casos en curso y la elaboración y trámite de: 
*8 Derechos de petición
*13 Procesos de representación
*6 Comités estudio de casos
*3 Audiencias</t>
  </si>
  <si>
    <t>Durante el mes de diciembre de 2022 se atendieron 120 mujeres en el área psicosocial y se realizaron 155 atenciones desagregadas así: 10 asesorías, 142 seguimientos y 3 valoraciones iniciales. La atención se prestó de manera presencial y telefónica acorde a la agenda programada.  Se han realizado primeras atenciones y orientación psicosocial con énfasis en auto cuidado, autoestima, gestión emocional y reconocimiento de habilidades y recursos de afrontamiento. El equipo psicosocial se ha posicionado en la atención a las mujeres que RASP a través de técnicas como la escucha activa y comprensiva y brindando herramientas que les permiten dar trámite a sus emociones y de esta manera se aporta a la solución de sus malestares emocionales.</t>
  </si>
  <si>
    <t>Durante el mes de diciembre de 2022 se atendieron 293 mujeres en trabajo social y se realizaron 419 atenciones desagregadas así: 108 intervenciones, 284 seguimientos y 27 valoraciones iniciales. Durante el periodo se realizó atención presencial y telefónica, dando respuesta a las siguientes necesidades específicas:
*2 Remisiones para IVE.                                                                                     
*1 Portabilidad.                                                                                          
*0 Salud Movilidad.                                                                                       
*1 Traslado municipio salud.
*17 Solicitud de encuesta socioeconomica SISBEN
*10 Afiliaciones al sistema de salud
*13 Activación servicios de SDIS, proyecto enlace emergencia social , bono de adulto mayor y jardines
*10 Solicitud cupo DLE.                                                                             
*14 Proceso educación flexible.
*3 Formación cursos técnicos SENA.
*8 Anticoncepción.
*15 Formación para el trabajo (Miquelina y Conviventia).
*31 Pruebas rápidas con secretaria de salud.
*2 Duplicados de cédula.
*16 Fondo Nacional del Ahorro.
*2 Subsidios con Habitat.
*31 Salud sexual y reproductiva liga contra el cancer.                        
*3 Empleabilidad. 
*0 Ruta Víctimas del Conflicto Armado.                                                
*3 educacion superior</t>
  </si>
  <si>
    <t>Diciembre de 2022</t>
  </si>
  <si>
    <t xml:space="preserve">Se atendieron 317 mujeres de las cuales:
*3 Indígenas
*6 Afrodescendientes
*0 Raizales, palenqueras 
*0 Rrom
*17 Lesbiana, Bisexuales, Gay
*12 Transgeneristas
*0 Rural y/o campesina
*6 Condición discapacidad
*11 Víctimas conflicto armado
</t>
  </si>
  <si>
    <t>Para 2 mujeres no se tiene la información de la edad.
Total mujeres atendidas en diicembre es 317.</t>
  </si>
  <si>
    <t>Se atendieron 120 mujeres de las cuales:
*0 Indígenas
*2 Afrodescendientes
*0 Raizales, palenqueras 
*0 Rrom
*10 Lesbiana, Bisexuales, Gay
*4 Transgeneristas
*0 Rural y/o campesina
*2 Condición discapacidad
*8 Víctimas conflicto armado</t>
  </si>
  <si>
    <t>Se atendieron 293 mujeres de las cuales.
*3 Indígenas
*13 Afrodescendientes
*0 Raizales, palenqueras 
*0 Rrom
*18 Lesbiana, Bisexuales, Gay
*12 Transgeneristas
*0 Rural y/o campesina
*4 Condición discapacidad
*19 Víctimas conflicto armado</t>
  </si>
  <si>
    <t xml:space="preserve">En febrero se elaboró el documento preliminar sobre la actualización del Decreto 563-15, realizando aportes al bloque 1 términos generales, bloque 2 acciones preventivas y bloque 3 acciones concomitantes y realización de la base de datos de las organizaciones firmantes del Decreto. Además, acciones encaminadas a fortalecer el documento de Caja de Herramientas, se llevaron a cabo 3 mesas de trabajo en la que se vienen diseñando actividades pedagógicas que puedan servir para la transversalización de los enfoques en las instancias de participación distrital.
En marzo se realizó la presentación de la actualización del Decreto 563-15 a la Subsecretaría del Cuidado y Políticas de Igualdad, con el fin de mostrar el proceso de actualización que se viene desarrollando desde el año 2020.
En abril se realizó actualización en la presentación de la subcomisión para la garantía y seguimiento de los derechos de las mujeres, diversidades, disidencias sexuales y de género para el 1 y 22 de abril de 2022.
En mayo se realizó la mesa de trabajo el 13 con la Dirección de Diseño de Políticas, Dirección de Violencias y Oficina Asesora Jurídica, con el fin de revisar los insumos de los bloques 1, 2 y 3 de la actualización del Decreto 563-015 con el fin de incluirlos dentro de la actualización del decreto. Se realizó la mesa de trabajo el 16 y 17 de mayo con la contratista Adriana Roque con el fin de revisar los bloques 1, 2 y 3 de la actualización del Decreto 563-015 con las respectivas notas para enviarlas a la Subsecretaría del Cuidado y Políticas de Igualdad para incluirlas en los aportes por parte de la SDMujer a dicho decreto. Se realizó mesa de trabajo el día 31 de mayo con la Dirección de Diseño de Políticas, Dirección de Violencias y Oficina Asesora Jurídica, para revisar la ruta de atención de violencias hacia las mujeres en el marco de las manifestaciones públicas para incluirlas en el bloque 4 denominado acciones posteriores de la relatoría del Decreto 563-15.
En junio se realizó consolidación por parte de la Subsecretaría del Cuidado y Políticas de Igualdad, Dirección de Eliminación de Violencias, Dirección de Diseño de Políticas y Oficina Asesora Juridica de la actualización del documento del Decreto 563 del 2015 para remitir a la Secretaría Distrital de Gobierno con los aportes realizados como Secretaría Distrital de la Mujer para incluirse dentro del documento.
En julio se realizaron dos sesiones finales ampliadas del Decreto 563 de 2015 los dìas 01 y 08 de julio, con el fin de revisar el documento de la actualización en sus 4 bloques temáticos y de esta manera trabajar sobre los disensos que se han presentado durante la discusión de todo el documento, para ser enviado posteriormente a la Oficina Asesora Jurídica de la Subsecretaría para la Gobernabilidad de la Secretaría Distrital de Gobierno
En agosto se elaboró el documento con el reporte de acciones de la Secretaría Distrital de la Mujer acorde a lo dispuesto por el Decreto Nacional 003 de 2021 “por el cual se expide el protocolo de acciones preventivas, concomitantes y posteriores, denominado "estatuto de reacción, uso y verificación de la fuerza legítima del estado y protección del derecho a la protesta pacifica ciudadana" para ser remitido a la Secretaría Distrital de Gobierno.
Se realizó ruta de trabajo el día 27 de septiembre con la coordinadora del equipo de promoción de la participación y representación de las mujeres, con el fin de revisar el material bibliografico sobre movilización social y protesta con enfoque de género y generar tareas para la construcción del documento de la Subcomisión para la garantia y seguimiento de los derechos de las mujeres, diversidades, disidencias sexuales y de género.
Se realizó mesa de trabajo los día 14 y 28 de octubre con la coordinadora del equipo de promoción de la participación y representación de las mujeres, para que con base en el material bibliografico sobre movilización social y protesta con enfoque de género, generar tareas para la construcción del documento de la Subcomisión para la garantia y seguimiento de los derechos de las mujeres, diversidades, disidencias sexuales y de género.
Se realizó mesa de trabajo el día 23 de noviembre con la coordinadora del equipo de promoción de la participación y representación de las mujeres, con el fin de revisar antecedentes nacionales e internacionales sobre movilización social y protesta con enfoque de género y dejarlo plasmado en un documento que fortalezca la Subcomisión para la garantia y seguimiento de los derechos de las mujeres, diversidades, disidencias sexuales y de género.
Realizada mesa de trabajo el día 12 de diciembre con el OMEG y el equipo de Promoción de la participación y representación de las mujeres para conocer el resultado final de caracterización sobre movilización y protesta social 25 de noviembre en Bogotá.
</t>
  </si>
  <si>
    <t>Durante el mes de noviembre se llevó a cabo mesa de trabajo del equipo de promoción de la participación y representación de las mujeres de la Subsecretaria del Cuidado y Políticas de Igualdad, el 10 de noviembre de 2022, en donde se establecieron los parámetros para la elaboración y presentación del informe final de la vigencia 2022, teniendo en cuenta esto se realizó el primer avance del documento el cual fue enviado vía correo electrónico al profesional especializado y la coordinadora del equipo para su revisión y comentarios, en el cual se presentarón las acciones adelantadas para la incorporación de los enfoques de derechos de las mujeres, de género y diferencial para mujeres, en el marco de las diferentes actividades, mesas de trabajo y gestiones adelantadasse acuerda que el informe se debe presentar consolidado por todo el equipo en el mes de diciembre.
Durante el mes de diciembre se llevaron a cabo mesas de trabajo del equipo de promoción de la participación y representación de las mujeres de la Subsecretaria del Cuidado y Políticas de Igualdad, el 07 y 14 de diciembre de 2022, en donde se realizaron comentarios y ajustes para la presentación del informe final consolidado por el equipo para la vigencia 2022, teniendo en cuenta esto se actualizó y consolidó el documento el cual fue enviado vía correo electrónico al profesional especializado y la coordinadora del equipo para su revisión y comentarios.</t>
  </si>
  <si>
    <t>Aunque no se han terminado de actualizar los procedimienos, se han realizado actividades permanentes de fortalecimiento de capacidades de las mujeres al CCM y al CTPD.  Se proyecta hacer la caracterización de las instancias de acuerdo al instructivo y posteriormente hacer un  plan de trabajo.
Para el mes de agosto no hubo avances  de implementación de la estrategia ya  que se requiere de la aprobación del procedimiento por parte de la Subsecretaría del Cyuidado y Politicas de Igualdad y de la Directora de Territoialización 
En el mes de septiembre se incia la ruta de implementación del procedimiento de fortalecimiento con el registro y caracterización de organizaciones. Se plantea la necesidad de unificar el proceso con la dirección de Territorialización. Se realizó estudio del formato de caracterización y registro. 
En conjunto con la dirección de Territorialización, se procedio a unificar el formiulario de inscripción de organizaciones y de caracterización, de acuerdo a la propuesta y convenio interadministrativo con el IDPAC. En el mes de octubre se realizaron dos capacitaciones sobre el manejo de la plataforma con el IDPAC y se crearon los usuarios de las y los profesionales del equipo de corresponsabilidad.
En el mes de noviembre se realizo el proceso de formación a sevidores públicos en procesos de participación y representación de las mujers, esta actividad se desarrollo conjuntamente  con la Veeduría Distrital. Para el mes de diciembre se adelantará el proceso de caracterización de las organizaciones. Realizadas mesas de trabajo sobre protesta y movilización social, los días 15 y 22 de noviembre, con el fin de conocer los avances implementados en la caracterización del 25 de noviembre en conjunto con el Observatorio de mujeres y equidad de género.
Realizada mesa de trabajo el día 12 de diciembre con el OMEG y el equipo de Promoción de la participación y representación de las mujeres para conocer el resultado final de caracterización sobre movilización y protesta social 25 de noviembre en Bogotá, que corresponde a la implementación piloto que establece esta actividad.</t>
  </si>
  <si>
    <t>Se culminó la revisión de los procedimientos conjuntamente con la dirección de Territorialización y la implementacion del registro y caracterización. Se desarrollo implementación piloto de la estrategia de promoción de la participación, con la subcomisión de género.</t>
  </si>
  <si>
    <t xml:space="preserve">
Se debe coordinar  con la dirección de Territorialización las acciones  que pertmitan avanzar en la caracterización de las organizaciones, ya que se requiere usuario y contraseña en la plataforma del IDPA</t>
  </si>
  <si>
    <t>Durante el mes de febrero no se pudo adelantar la Mesa Coordinadora ni la plenaria del Espacio Autónomo, teniendo en cuenta que no se contaba con el quórum necesario para sesionar, teniendo en cuenta que hasta el 8 de marzo se realizará la posesión de  las 17 consejeras consultivas elegidas en febrero. Sin embargo el 10 de febrero se adelantó llevó a cabo una reunión inicial con las consejeras consultivas posesionadas el 23 de diciembre de 2021, con el objetivo de realizar una bienvenida y priorizar algunos temas necesarios para el trabajo a desarrollar con el Consejo Consultivo de Mujeres. 
Durante  el mes de marzo, se adelantaron las siguientes reuniones con el CCM:
Reunión de las consejeras posesionadas en el evento del 8M y las consejeras consultivas salientes, con el objetivo de presentar los logros del CCM y los compromisos pendientes, se socializó por parte de la Dirección de Territorialización la estrategia de fortalecimiento definida en el marco del convenio suscrito por la SDMujer y la OEI.
El 30 de marzo se llevo a cabo la Mesa Coordinadora, en la cual se abordaron temas relacionados con el Consejo Local de Seguridad para las Mujeres, informe sobre las acciones a seguir para elegir las vacantes del proceso eleccionario, y la elección de la consejera articuladora y secretaria del CCM. Por otro lado, se dio respuesta las consejeras consultivas por parte de la Dirección de Territorialización, a las preguntas realizadas por el CCM sobre el incentivo de plan de datos a entregar, en el marco de la estrategia de fortalecimiento a las organizaciones. 
Durante  el mes de abril, se adelantaron las siguientes reuniones con el CCM:
El 20 de abril se realizó la Mesa Coordinadora, en la cual se abordaron temas relacionados con la transversalización del enfoque de género y se escucharon observaciones y comentarios de las consejeras consultivas frente al proceso. 
De igual manera, el 20 de abril se llevó a cabo la plenaria del Espacio Autónomo, en la cual las consejeras consultivas iniciaron con la elaboración del Plan de Acción para la vigencia 2022. Se programaron adicionalmente dos reuniones, el 25 y 28 de abril para continuar trabajando en la definición del plan de acción. 
Durante  el mes de mayo , se adelantaron las siguientes reuniones con el CCM:
El 25 de mayo se realizó la Mesa Coordinadora, en la cual se propuso un espacio de diálogo entre el CCM y la Secretaria Distrital de la Mujer para abordar temas priorizados por las consejeras consultivas relacionados con temas de transversalización, presupuestos participativos, fortalecimiento territorial y de relacionamiento entre la SDMujer y el CCM
De igual manera, el 25 de mayo se llevó a cabo la plenaria del Espacio Autónomo, en la cual las consejeras consultivas realizaron la revisión de la propuesta del Plan de Acción 2022 elaborado por el CCM y se dieron observaciones y comentarios al mismo, por parte de la Secretaría Técnica del CCM.
Durante  el mes de junio , se adelantarón las siguientes reuniones con el CCM:
El 29 de junio se realizó la Mesa Coordinadora, en la cual se presentaron los avances del Sistema del Cuidado por parte de la Dirección del Sistema del Cuidado y se llevo a cabo un escenario de Diálogo con el Secretario Distrital de Gobierno para abordar temas relacionados con la segunda fase de Presupuestos Participativos. 
De igual manera, el 29 de junio  se llevó a cabo la plenaria del Espacio Autónomo, en la se les presentó a las consejeras consultivas una propuesta de fortalecimiento para el CCM elaborada por la Subsecretaría del Cuidado y Políticas de Igualdad, se definió un cronograma de trabajo, y se dió un informe sobre el proceso eleccionario.
Durante  el mes de julio, se adelantarón las siguientes reuniones con el CCM:
El 27 de julio se llevó a cabo la Mesa Coordinadora en la cual se hizo lse sesión de seguimiento de los compromisos suscritos el 15 de septiembre de 2021 entre el CCM y los Alcaldes y Alcaldesas Locales en el marco del  Pacto de Corresponsabilidad.
De igual manera, el 27 de julio  se llevó a cabo la plenaria del Espacio Autónomo, de acuerdo a la agenda propuesta por las consejeras consultivas. 
Durante  el mes de agosto , se adelantarón las siguientes reuniones con el CCM:
El  31 de agosto  se llevó a cabo la Mesa Coordinadora, en la cual se abordaron temas relacionados con el Sello de igualdad de Género, presentación del Pacto de Paridad que quiere suscribir el CTPD y balance de la visita a la Manzanas del Cuidado de Ciudad Bolívar..
De igual manera, el 31 de agosto  el Consejo Consultivo de Mujeres llevó  a cabo el espacio autónomo, de acuerdo a la agenda propuesta por las consejeras consultivas. 
El  28 de septiembre  se llevó a cabo la Mesa Coordinadora, en la cual se presentó la línea base del Sistema del Cuidado y se realizó un balance con la Secretaria de la Mujer sobre la sesión del Consejo Consultivo de Mujeres - Espacio Ampliado realizado el día 20 de septiembre de 2022. 
De igual manera, el 28 de septiembre  el Consejo Consultivo de Mujeres llevó  a cabo el espacio autónomo, de acuerdo con la agenda propuesta por las consejeras consultivas. 
Durante  el mes de octubre , se adelantarón las siguientes reuniones con el CCM:
El  26 de octubre  se llevó a cabo la Mesa Coordinadora, en la cual por parte de la Dirección de Territorialización de Derechos y Participación, se presentó información relacionada con la estrategia de bancadas de mujeres en las JAL, la Clínica Lidera-Par y se escucharon las observaciones y propuestas del CCM para el fortalecimiento de las CIOM
De igual manera, el 26 de octubre  el Consejo Consultivo de Mujeres llevó  a cabo el espacio autónomo, de acuerdo con la agenda propuesta por las consejeras consultivas. 
Durante  el mes de noviembre , se adelantarón las siguientes reuniones con el CCM:
El  30 de noviembre  se llevó a cabo la Mesa Coordinadora, en la cual se presentó la línea base de la PPMYEG, una propuesta por parte de la Dirección de Derechos y Diseño de Política, relacionada con una asistencia técnica al CCM proyectada al 2023 frente al CONPES 14, y se socializó la retroalimentación a los comentarios y observaciones realizadas por las consejeras consultivas para el proyecto de acuerdo del Sistema Distrital de Cuidado.   
De igual manera, el 30 de noviembre el CCM  llevó  a cabo el Espacio Autónomo, en el cual participó la Secretaría Técnica de la instancia, y se abordaron temas relacionados con el reglamento interno y la propuesta de fortalecimiento presentada por las consejeras consultivas.
El 13 de diciembre de 2022, se apoyó el evento de presentación del informe de gestión del CCM vigencia 2022, el cual fue dirigido a las mujeres de Bogotá, y en el cual se presentaron los resultados del trabajo realizado por la instancia.
Los días 19 y 20 de diciembre se apoyó en el proceso de fortalecimiento interno del CCM, solicitado por el Espacio Autónomo.
El día 21 de diciembre, se apoyó en el encuentro de cierre de gestión vigencia 2022 del CCM</t>
  </si>
  <si>
    <t xml:space="preserve">Durante el mes de febrero, no se realizaron mesas de trabajo con los sectores ya que se estaba a la espera de la posesión de las 17 consejeras consultivas elegidas durante este mes, para contar con un número significativo de integrantes para la programación y desarrollo de las mismas. Internamente, la Subsecretaría del Cuidado y Políticas de Igualdad  realizó mesa de trabajo virtual del equipo de promoción de la participación y representación de las mujeres  el 01 de febrero de 2022, en donde se realizó la revisión de los Pactos de Corresponsabilidad pendientes por seguimiento para la vigencia 2022. Realizó mesa de trabajo virtual del equipo de promoción de la participación y representación de las mujeres de la Subsecretaría del Cuidado y Políticas de Igualdad y el equipo de Gestión Local de la Dirección de Territorialización el 04 de febrero de 2022, en donde se realizó la revisión del Pacto de Corresponsabilidad entre el Consejo Consultivo de Mujeres y los alcaldes y alcaldesas locales para la vigencia 2022. Se elaboró el instrumento de seguimiento al Pacto de Corresponsabilidad entre el Consejo Consultivo de Mujeres y los alcaldes y alcaldesas locales para la vigencia 2022. Se llevó a cabo mesa de trabajo virtual del equipo de promoción de la participación y representación de las mujeres de la Subsecretaría del
Cuidado y Políticas de Igualdad y el equipo de Gestión Local de la Dirección de Territorialización el 15 de febrero de 2022, en donde se presentó el instrumento de seguimiento al Pacto de Corresponsabilidad entre el Consejo Consultivo de Mujeres y los alcaldes y alcaldesas locales para la vigencia 2022. 
Durante el mes de marzo, no se realizaron mesas de trabajo con los sectores ya que no se ha definido con el nuevo CCM que temas se priorizarán para ser abordados con las entidades del Distrito. Sin embargo, El 1 de marzo se llevó  a cabo una reunión con las 12 consejeras consultivas posesionadas durante diciembre de 2021 y las consejeras consultivas salientes, con el objetivo de realizar una reunión inicial de presentación del proceso y revisar temas relacionados con presupuestos participativos y el Pacto de Corresponsabilidad suscrito entre el CCM y las Alcaldesas y Alcaldes Locales.
Durante el mes de abril, no se realizaron mesas de trabajo con los sectores ya que no se ha definido con el  CCM que temas se priorizarán para ser abordados con las entidades del Distrito. Sin embargo, el 5 de abril se llevó  a cabo una reunión con las consejeras consultivas y la  Dirección de Territorialización de Derechos y Participación para revisar los avances relacionados con el seguimiento  del Pacto de Corresponsabilidad suscrito entre el CCM y las Alcaldesas y Alcaldes Locales.
El 24 de mayo, se llevo a cabo una mesa de trabajo con la Secretaría Distrital de Planeación, en la cual se le socializó al CCM lo relacionado con el POT y se presento la estrategia para promover la participación de la ciudadanía en su implementación y seguimiento. De igual manera se recogieron las observaciones y propuestas del CCM para continuar la articulación y trabajo realizado frente al POT.
El 25 de mayo se acompaño la reunión realizada con la Dirección de Derechos Humanos de la Secretaría Distrital de Gobierno y la Consejera Consultiva delegada para el Comité Distrital de Derechos Humanos, con el objetivo de revisar la propuesta de hacer un taller participativo con el CCM, para la actualización del Plan Distrital de Prevención y Protección.
El 3 de junio se llevó a cabo un  taller participativo con el CCM y la Secretaría Distrital de Gobierno, con el objetivo de recoger aportes y comentarios de las consejeras consultivas  para la actualización del Plan Distrital de Prevención y Protección.
El 8 de julio se llevó a cabo una reunión con la Secretaría Distrital de Gobierno en la cual se presentó la estrategia de Cuidado Local y se socializó el estado del proceso de Presupuestos Participativos.
El 22 de julio se realizó un taller con la Secretaría General, con el objetivo de identificar las necesidades de información de las mujeres para los procesos de rendición de cuentas de la Administración Distrital, y seguir fortaleciendo la ruta metodologica de rendición de cuentas con enfoque de género, enfoque de derechos y enfoque diferencial. 
Los días 6, 11, 18 y 25 de julio se realizaron reuniones de trabajo con el CCM, para preparar la mesa de seguimiento del Pacto de Corresponsabilidad, a partir del análisis de información de las respuestas remitidas por las Alcaldías Locales, frente al cumplimiento de los compromisos suscritos el 15 de septiembre de 2022
El 30 de agosto, el Equipo de Corresponsabilidad de la Subsecretaría del Cuidado y Políticas de Igualdad, participó en la mesa de trabajo con las puntos focales de las Alcaldías Locales, con el objetivo de resolver dudas y realizar aclaraciones  sobre  los compromisos suscritos entre el Consejo Consultivo de Mujeres y los y las alcaldesas locales, en el marco del Pacto de Corresponsabilidad.
El 6 de septiembre se llevó a cabo una reunión con la Dirección de Derechos Humanos de la Secretaría Distrital de Gobierno, con el objetivo de recoger observaciones de las consejeras consultivas territoriales para la actualización del Decreto 455 de 2018.
De igual manera el 9 de septiembre se realizó una reunión interinstitucional entre la Secretaría Distrital de Gobierno y el Equipo de Corresponsabilidad de la Subsecretaría del Cuidado y Políticas de Igualdad con el objetivo de conocer la estrategia de Constructores Locales y revisar como se puede articular para la gestión de los compromisos del Pacto de Corresponsabilidad suscrito entre el CCM y los y las Alcaldesas Locales.
El 20 de septiembre, se llevó a cabo la sesión ordinaria del Consejo Consultivo de Mujeres - Espacio Autónomo, en la cual se presentaron análisis, recomendaciones y solicitudes a la Adminsitración Distrital por parte de las consejeras consultivas relacionadas con el Sello de igualdad, la estrategia de transversalización del enfoque de género, trazador presupuestal y Sistema de Cuidado.
A partir de la priorización realizada por el CCM, para realizar mesas de trabajo con los sectores que tienen competencia sobre el Derecho a la Educación con Equidad y el Derecho a Una Vida Libre de Violencia, se realizaron la siguientes reuniones:
El 10 de octubre, se realizó una reunión con la Dirección de Eliminacion de Violencias Contra las Mujeres y Acceso a la Justicia, con el objetivo de conocer las acciones adelantadas frente a la Derecho a Una Vida Libre de Violencias.
El 13 de octubre, se realizó una reunión con la Dirección de Derechos y Diseño de Políticas, con el objetivo de conocer las acciones adelantadas frente a la Derecho a la Educación con Equidad
Por otro lado, con el objetivo de dar recomendaciones a los planes de trabajo que se quieren llevar a cabo con las 25 entidades priorizadas en el 2021 dentro de la estrategia del Sello Distrital de Igualdad de Género, el 13 de octubre, se realizó un taller con el CCM, liderado por la Dirección de Derechos y Diseño de Política, con el objetivo de recoger observaciones y comentarios sobre las preguntas previstas en los módulos y categorías del instructivo del Sello. 
El 17 de noviembre se llevó  a cabo una mesa de trabajo con el Sector Educación, en la cual participó la Secretaría de Educación del Distrito y la Universidad Distrital Francisco José de Caldas, la cual tuvo como objetivo conocer las acciones que se han venido adelantando desde la SED para garantizar el derecho a la educación con equidad. Se hizo énfasis en temáticas relacionadas con la transversalización del enfoque de género, las gestiones para atender los casos de violencia contra niñas, adolescentes y docentes de las instituciones educativas, y la articulación entre las entidades del Sector Educación para garantizar el acceso de las mujeres a la educación. 
El 6 de diciembre se llevó a cabo una reunión con las referentas de mujer y género de las Alcaldías Locales de Usme y Sumapaz, con el objetivo de presentar los compromisos acordados en la sesión de seguimiento al Pacto de Corresponsabilidad, y se aclararon las dudas relacionadas con las evidencias que se deben reportar para evidenciar el cumplimiento de los mismos.  </t>
  </si>
  <si>
    <t xml:space="preserve">El CCM no ha definido las Comisiones de trabajo del Espacio Autónomo, la realizará durante abril. En abril el CCM propuso la conformación de 8 comisiones de trabajo, una por cada uno de los derechos de la PPMYEG, y comisiones permanentes de comunicaciones, ética, normativa y jurídica. Sin embargo, aún no han definido como estarán integradas estas comisiones. El 17-05 se realizó una reunión de empalme del CCM, en la cual se definieron las comisiones de trabajo del CCM y su conformación. Por otro lado, se llevaron a cabo las siguientes reuniones con la Comisión Normativa: El 12-05 se realizó una reunión para recoger aportes y comentarios de las consejeras consultivas, para la actualización del Decreto 364-2021. El 16 y 23-05 se realizaron mesas de trabajo para iniciar con la actualización del reglamento interno del CCM-EA. El 24-06, en el marco de las comisiones del CCM, se realizó una reunión con la Dirección de Territorialización de D y P para trabajar con las consejeras consultivas, lo relacionado0 con la actualización normativa de los COLMYG. El 13 y 18-07 en el marco de las comisiones del CCM, se continuó con la actualización del reglamento del CCM-EA y se finalizó la elaboración del plan de acción 2022. En el marco de las comisiones del CCM -EA, el 24-08 se llevó a cabo la visita a la Manzana del Cuidado de Ciudad Bolívar, para conocer su funcionamiento y los servicios que allí se ofrecen para las cuidadoras. El 7 y 14-09, se realizaron 2 reuniones para continuar con la actualización del reglamento interno del Consejo Consultivo de Mujeres-EA. El 13 y 19-09, se adelantaron 4 reuniones para preparar la sesión ordinaria del CCM - Espacio Ampliado, para las cuales se definieron tres comisiones de trabajo: Sello de Igualdad, Transversalización y Sistema de Cuidado. El 12 y 29-09 se llevaron a cabo reuniones con la Dirección de DDP, con el objetivo de revisar el instructivo del Sello de Igualdad, recoger comentarios y observaciones por parte del CCM
En el marco de las comisiones del Consejo Consultivo de Mujeres -EA, se llevaron a cabo las siguientes actividades:
Los días 11 y 25 de octubre, se llevaron a cabo reuniones con el CCM, la Oficina Aserora Jurídica y la Dirección del Sistema de Cuidado de la SDMujer, para presentar el proyecto de acuerdo del Sistema Distrital  de Cuidado, con el objetivo de recoger observaciones, comentarios y propuestas de las consejeras consultivas 
El 31 de octubre, se relizó una reunión con el CCM para revisar y recopilar los comentarios, observaciones y propuestas que se iban a presentar a la SDMujer, sobre el proyecto de acuerdo del Sistema Distrital  de Cuidado
El 21 de noviembre, se acompañó la reunión convocada por la Comisión de Ética y Convivencia del CCM, en la cual se revisaron unas acciones preliminares para iniciar  la comunicación con las consejeras consultivas que no han participado en las sesiones programadas durante la vigencia 2022. 
Los días 2, 5 y 6 de diciembre, se apoyó en el desarrollo de las mesas de trabajo convocadas por el CCM para preparar el evento donde se presentaría el informe de gestión de la instancia, con los resultados obtenidos durante la vigencia 2022. </t>
  </si>
  <si>
    <t xml:space="preserve">Durante el mes de enero, la Secretaría de la Mujer se reunió con Demolab (Laboratorio de innovación política del Concejo de Bogotá) y sus organizaciones aliadas, en donde se logró definir los objetivos durante el año 2022 para continuar con la implementación de la caja de transversalización del enfoque de género en el Concejo de Bogotá. Se avanzó en un cronograma común y la reafirmación de los compromisos de cada una de las organizaciones. Esta reunión trae como beneficio que durante el 2022 se siga trabajando conjuntamente para que los y las concejales junto a sus equipos tengan herramientas técnicas para realizar proyectos de acuerdo y debates de control político con enfoque de género.
Durante el mes de febrero, la Secretaría de la Mujer participó en la reunión convocada por Demolab para definir la metodología que se usará para ajustar la caja de herramientas para la transversalización del enfoque de género en el Concejo de Bogotá. En dicha reunión se definió las fechas en que se ajustará cada capitulo y las preguntas orientadoras para garantizar que se incorpore el enfoque de género y diferencial en el toolkit. Así mismo, se asistió a diferentes sesiones en el Concejo, en donde el orden del día contenía los siguientes proyectos de acuerdo: 181 del 2021,  264 del 2021, 023 del 2022 y 046 del 2022. Durante estas sesiones, la Secretaria de la Mujer estuvo presente para garantizar la incorporación del enfoque de género. Igualmente, se asistió a la mesa de trabajo convocada por la Concejal Heidy Sánchez en donde se trató el tema de docentes trans en Bogotá. Allí se logró articular acciones con distintas entidades y se informó a la Concejal sobre los avances de SDMujer en pro de la garantía de derechos para las mujeres trans.  
Durante el mes de marzo, la SDMujer fue invitada a diferentes proyectos de acuerdo, entre esos el PA Priorizado No. 023 de 2022 “Por medio del cual se toman medidas para garantizar el derecho a la vida, la salud plena, la dignidad humana, el libre desarrollo de la personalidad, y el derecho fundamental a la Interrupción Voluntaria del Embarazo (IVE) y se dictan otras disposiciones”, allí se asistió con el objetivo de garantizar la inclusión del enfoque de género en el proyecto. También la entidad asistió a la mesa de trabajo convocada por el sector educación en donde se abordó el PA “La ciudad de las niñas, niños y adolescentes”, el objetivo y resultado de la reunión fue la incorporación de los comentarios de SDMujer en el articulado. 
Así mismo, se participó en la reunión de preparación de la mesa de trabajo convocada por la bancada por la dignidad de los recicladores, la SDMujer asistió para hacerle seguimiento a las necesidades de la comunidad y brindar la oferta institucional. Igualmente se realizó una reunión interna para coordinar la capacitación sobre equidad de género para el comité de la mujer del Concejo de Bogotá.
 Durante el mes de abril, se asistió a la reunión convocada por Demolab que tenía como objetivo actualizar el cronograma de trabajo para ajustar la caja de herramientas para la transversalización del enfoque de género en el Concejo de Bogotá, allí se definió que la SDMujer acompañara la actualización de esta herramienta durante el 2022. También se asistió a la mesa de trabajo convocada por el Concejal Luis Carlos Leal en donde se abordó el proyecto de acuerdo 143 del 2022, allí se expusieron los comentarios de esta Secretaria con el fin de que el proyecto integre el enfoque de género. Igualmente se asistieron a los debates de control político citados por la corporación para exponer el trabajo de la Secretaria de la Mujer, para esto se prepararon las presentación que muestran el avance de las metas y los logros obtenidos por la SDMujer. 
Durante el mes de mayo se asistió a todos los debates de proyectos de acuerdo de autoría de los Concejales a los que fue invitada la Secretaría de la Mujer, así mismo se participó en diversas mesas de trabajo externas como internas para garantizar la incorporación del enfoque de género en los proyectos de acuerdo. 
También se hizo revisión de la caja de herramientas para la transversalización del enfoque de género y se enviaron comentarios para su actualización. 
Durante el mes de junio se realizó una reunión presencial con Demolab y distintas organizaciones aliadas en donde se socializaron los comentarios para la Caja de Herramientas para la transversalización del enfoque de género. También se asistió a la Comisión de Gobierno del Concejo de Bogotá en donde se debatió el proyecto de acuerdo 134 2022: “Por medio del cual se crean Lineamientos para la Atención Integral a Víctimas de Abuso Policial, con enfoque de juventudes, en el marco de la protesta social en Bogotá”, este proyecto incorporó las sugerencias realizadas por la Secretaría de la Mujer para transversalizar el enfoque de género en el articulado. 
Durante el mes de julio se asistió a la presentación y debate del proyecto de acuerdo No. 279 de 2022 “Por el cual se efectúan unas modificaciones en el Presupuesto Anual de Rentas e Ingresos y de Gastos e Inversiones del Distrito Capital, para la vigencia fiscal comprendida entre el 1 de enero y el 31 de diciembre de 2022 en donde se aprobó la asignación de recursos para programas con enfoque de género. Así mismo se asistió a mesas de trabajo del proyecto de acuerdo 143 del 2022 en donde se promovió la incorporación del enfoque de género y diferencial. 
 Durante el mes de agosto, se realizó el debate sobre personas trans en Bogotá en donde la Secretaría de la Mujer fue citada. Para esto se estructuró una presentación en donde se exponen las acciones de la entidad respecto a los derechos de las mujeres trans.  Igualmente se realizaron las presentaciones para los debates de control político sobre Bogotá Cuidadora, inclusión laboral de personas con discapacidad y sus cuidadores y el foro de juventud. 
También se asistió a dos reuniones con los concejales Julián Espinosa y Rubén Torrado en donde se les expuso la estrategia de cuidado menstrual del Distrito. 
Por otra parte, se asistió a las sesiones del Concejo que tuvieron como objetivo debatir los siguientes proyectos de acuerdo: 
“Por medio del cual se crean estrategias para promover, financiar y apoyar el emprendimiento, la formalización y el fortalecimiento empresarial de las mujeres en Bogotá D.C”
"Por medio del cual se establecen orientaciones para actualizar la política distrital de salud mental y se dictan otras disposiciones"
Durante el mes de septiembre de 2022, se inició el debate sobre seguridad en el Concejo de Bogotá con la participación de la SDMujer, para ello se preparó una presentación en donde se exponen las acciones de la entidad que tienen como fin que el Distrito cuente con enfoque de género para mejorar la seguridad y atención de violencias contra las mujeres. Así mismo se asistió a todas las sesiones convocadas. 
Igualmente se asistió a varias reuniones convocadas por los Concejales para conocer las acciones de SDMujer en su objetivo de transversalizar el enfoque de género en el Distrito. Se tuvo una reunión con el Concejal Libardo Asprilla sobre enfoques diferenciales y emprendimiento. La Concejal Lucia Bastidas solicitó una reunión sobre prevención de violencias con moteras de la ciudad y el Concejal Venus Albeiro Silva solicitó una reunión sobre proyectos culturales de mujeres. Igualmente la Concejal Maria Fernanda Rojas solicitó un recorrido por la manzana del cuidado de Manitas en la que se invitaron también a edilesas y ediles de todas las localidades para que conocieran el Sistema de Cuidado. También se asistió a la Audiencia Pública convocada por la Representante Jennifer Pedraza, sobre derechos sexuales y reproductivos, durante esta audiencia la Secretaria intervino exponiendo los logros y desafíos que tiene el país en este tema. De otro lado, se preparó y asistió a la comisión accidental de seguimiento al sistema del cuidado, allí se expuso el avance del sistema.
Por último, se convocó a una reunión para coordinar las acciones de las distintas Secretarias en cuanto a los proyectos de acuerdo sobre cuidado menstrual, esto con el objetivo de que los proyectos incorporen el enfoque de género de manera adecuada e incorporen las acciones ya existentes dentro de la entidad. 
Durante el mes de octubre, la SDMujer asistió a una mesa de trabajo convocada por el Congresista Carlos Alberto Carrillo Marin en donde se expuso toda la oferta institucional de la entidad para las comunidades indígenas. Igualmente, se asistió a la mesa de trabajo convocada por el Concejal José Cuesta sobre el proyecto de acuerdo de jueces y juezas de paz, conciliadores/as en Equidad, Árbitros y Mediadores/as en el Distrito Capital, allí se compartieron varias observaciones para que el proyecto incorpore el enfoque de género. Por último, se organizó una reunión con la comisión legal de la equidad de la mujer del Concejo de Bogotá en donde se expuso la posibilidad de realizar un proyecto de acuerdo sobre acoso en el espacio público, se dieron herramientas técnicas y jurídicas a la comisión para que en su autonomía puedan construir un articulado con enfoque de género que garantice el derecho de las mujeres a una vida libre de violencias. 
Durante el mes de noviembre, la SDMujer hizo presencia en varias mesas de trabajo con el objetivo de exponer cómo se ha transversalizado el enfoque de género en diversos temas que afectan a la ciudadanía. Se asistió a la mesa de trabajo sobre salud mental convocada por la Concejal Gloria Diaz, allí se socializaron las acciones de la entidad en cuanto a garantizar el derecho a la salud de las mujeres. Se asistió a una reunión con el Concejal Libardo Asprilla y lideresas NARP en donde se conversó sobre casos de violencia a mujeres NARP y acciones diferenciales. También se asistió al foro sobre Cuidado Menstrual convocado por el Concejal Julian Rodriguez, en este espacio se explicó la estrategia de la Secretaria. Igualmente se asistió a la reunión con Demolab en donde se coordinó el lanzamiento del toolkit género para transversalizar el enfoque de género en el Concejo. Se asistió a la mesa de trabajo con el equipo del Concejal Jose Cuesta y activistas de la bicicleta de Patio Bonito, en esta mesa se expusieron las acciones de la Secretaria en cuanto a la movilidad de las mujeres. También la SDMujer asistió a la instalación de la bancada “traidores del patriarcado” del Concejo de Bogotá. Se asistió a la audiencia pública sobre parto humanizado convocada por el Concejal Manuel Sarmiento. También la SDMujer asistió al encuentro por un sistema de transporte público seguro convocado por la Concejal Heidy Sánchez, en este espacio se escucharon las propuestas de las ciudadanas para mejorar su seguridad. Y finalmente se asistió a la reunión convocada por el Concejal Andrés Onzaga para coordinar la gala de exaltación a personas con discapacidad. 
Durante el mes de diciembre se asistió a los debates programados para discutir el proyecto de acuerdo sobre el Presupuesto 2023. Igualmente se asistió a la reunión convocada por el Concejal Samir Abisambra en donde se socializaron las acciones realizadas por la SDMujer con el fin de garantizar la seguridad de las mujeres en la localidad de Teusaquillo. Por otro lado, se asistió a la citación del Concejo en donde se hizo control político a las acciones en cuanto a los derechos sexuales y reproductivos. </t>
  </si>
  <si>
    <t>Se asistió a la reunión convocada por la Secretaría Distrital de Gobierno, con el fin actualizar el Decreto 563-015 en su bloque 3 denominado acciones concomitantes los días 10,17 y 24 de febrero. Se asistió a la reunión convocada por la Secretaría Distrital de Gobierno con motivo de las movilizaciones convocadas en la ciudad para el día 24 de febrero de 2022. Se acompañó de manera presencial en el centro de operaciones de emergencia (COE) con motivos de las movilizaciones convocadas en la ciudad de Bogotá el día 24 de febrero de 2022
En el mes de marzo  se realizó la reunión convocada por la Secretaría Distrital de Gobierno, con el fin actualizar el Decreto 563-015 en su bloque 3 denominado acciones concomitantes los días 9, 10,15 y 31 de marzo
Se reaPor ultimo la SDMujer  participó en la reunión de caracterización de mujeres alrededor de la movilización social en Bogotá, con el fin de identificar como se viene desarrollando de manera diferencial la movilización en la ciudad de Bogotá para las mujeres y así mismo determinar las violencias que sufren las mujeres alrededor de la protesta social en las calles y dentro de las organizaciones sociales de las que participan.
En el mes de abril se asistió a la reunión de la subcomisión para la garantía y seguimiento de los derechos de las mujeres, diversidades, disidencias sexuales y de género el día 01 de abril y 22 de abril del 2022.
 Se participó a la reunión citada por Campaña Defender la Libertad con el fin de acompañar el lanzamiento del documento torturar y castigar a quien protesta el día 06 de abril de 2022. 
 También participamos en la reunión convocada por la Secretaría Distrital de Gobierno, con motivo de las movilizaciones citadas para el día 28 de abril y 1ero de mayo y las marchas LGBTI que tendrán lugar a finales del mes de junio, en el marco de la celebración mundial del Día del Orgullo Gay y Lésbico el día 26 de abril de 2022.
En el mes de mayo se realizó la reunión el día 3 de mayo, con el fin de revisar verbos y categorías con la Dirección de Eliminación de Violencias para llevarlas como propuestas a la reunión de la Subcomisión. Se realizó la reunión de la subcomisión los día 09 y 20 de mayo, con el fin de establecer agenda de trabajo y construir objetivos específicos y acciones de dicha subcomisión junto a las instituciones y organizaciones de la sociedad civil firmantes del Decreto 563-015. Se realizó la reunión  del día 9 de mayo por la Secretaría Distrital de Gobierno, con el fin revisar el bloque 4 de la actualización del Decreto 563-015 denominada acciones concomitantes. Se participó en la reunión convocada por Secretaría Distrital de Gobierno con el fin de revisar de forma conjunta los aspectos logísticos y el cronograma propuesto para llevar a cabo la tercera versión del ejercicio teórico práctico y a la reunión convocada por la Secretaría Distrital de Gobierno, con el fin de revisar la agenda de las  marchas a desarrollarse en la ciudad de Bogotá del sector LGBTI+, en el marco de la celebración mundial del Día del Orgullo Gay.  Se participó en el ejercicio teórico practico el día 19 de mayo con el fin de implementar el Decreto Nacional 003 de 2021 y Decreto Distrital 563 de 2015. 
En junio se Asiste a la Subcomisión para la garantía y seguimiento de los derechos de las mujeres, diversidades, disidencias sexuales y de género.  los días 9 y 24 de junio, con el fin de establecer agenda de trabajo y construir objetivos específicos y acciones de dicha subcomisión junto a las instituciones y organizaciones de la sociedad civil firmantes del Decreto 563-015. 
 Se Asiste a la reunión citada por la Secretaría Distrital de Gobierno los días 10 y 29 de junio, con el fin revisar el bloque 4 de la actualización del Decreto 563-015 denominada acciones concomitantes y la ultima sesión relatora de la Actualización del Decreto 563-015.
Se realiza mesa de trabajo con la Dirección de Eliminación de Violencias, con el fin de revisar los objetivos específicos y las acciones de la Subcomisión para llevar como propuesta de trabajo un cuadro comparativo a la siguiente  Subcomisión para la garantía y seguimiento de los derechos de las mujeres, diversidades, disidencias sexuales y de género.
Se Asiste a la Subcomisión para la garantía y seguimiento de los derechos de las mujeres, diversidades, disidencias sexuales y de género el dìa 8 de julio, con el fin de construir objetivos específicos y acciones de dicha subcomisión junto a las instituciones y organizaciones de la sociedad civil firmantes del Decreto 563-015. 
Se realiza mesa de trabajo el dìa 05 de julio con la Subsecretaria del Cuidado y Polìticas de Igualdad sobre el trabajo desarrolado en la Subcomisión para la garantia de los derechos de las mujeres, diversidades y disidencias del gènero.
 Se Asiste a la reunión citada por ONU mujeres chile el dìa 13 de julio, con el fin de de solicitar apoyo técnico para la incorporación y sistematización de cursos con enfoque de género dirigidos a gestores de seguridad y convivencia.
Se Asiste a la reunión citada por Secretarìa Distrital de Gobierno el dìa 18 de julio, con el fin de  realizar seguimiento a la convocatoria del 20 de julio con relaciòn a la instalciòn del Congreso de la Repùblica.
En el mes de agosto se Asiste a la Subcomisión para la garantía y seguimiento de los derechos de las mujeres, diversidades, disidencias sexuales y de género los días 05 y 19 de agosto de 2022, con el fin de construir objetivos específicos y acciones de dicha subcomisión junto a las instituciones y organizaciones de la sociedad civil firmantes del Decreto 563-015.
 Se Asiste a la reunión citada por parte de la Subsecretaría del Cuidado y Políticas de Igualdad, el día 29 de agosto de 2022, junto con el Observatorio para la equidad de género, con el fin de exponer lo que se viene trabajando en la actualización del Decreto 563 del 2015 y la solicitud por parte de la mesa de la Subcomisión para la garantía y seguimiento de los derechos de las mujeres, diversidades, disidencias sexuales y de género para que el Observatorio explique como vienen trabajando los datos sobre movilización social con enfoque de derechos de las mujeres 
Se Asiste a la Subcomisión para la garantía y seguimiento de los derechos de las mujeres, diversidades, disidencias sexuales y de género los días 02 y 16 de septiembre de 2022, con el fin de de revisar las acciones frente a los objetivos específicos de la mesa junto a las organizaciones de la sociedad civil y las entidades firmantes del Decreto 563-015.
Se asiste a la reunión citada por la Dirección de Derechos Humanos de la Secretaría Distrital de Gobierno, el día 20 de septiembre con el fin de  revisar el documento final de la comisión relatora para la actualización del protocolo de movilización de la actualización del Decreto 563-015.
Se asiste  a la reunión citada por la Dirección de Derechos Humanos de la Secretaría Distrital de Gobierno, el día 23 de septiembre en sesión ordinaria, con motivo de la Gran Marcha convocada el 26 de septiembre en contra de las reformas del nuevo Gobierno Nacional y la Movilización pedagógica desde el sur, convocada para el próximo 28 de septiembre.
Se asiste  a la reunión citada por la Dirección de Derechos Humanos de la Secretaría Distrital de Gobierno, el día 27 de septiembre en sesión ordinaria, con motivo de la conmemoración del Día Nacional por la dignidad de las víctimas del genocidio contra la Unión Patriótica.
Se asiste a la reunión de caracterización sobre movilización y protesta social, el día 07 de octubre de 2022, junto a la Dirección de Gestión del Conocimiento y el OMEG, con el fin de  dar a conocer el cronograma de trabajo para la caracterización y las fechas de las entrevistas a realizar por parte de la Subsecretaria Del Cuidado Y Políticas de Igualdad y la Dirección en temas de movilización con enfoque de género
Se Asiste a la reunión previa de la  Subcomisión para la garantía y seguimiento de los derechos de las mujeres, diversidades, disidencias sexuales y de género el día 13 de octubre de 2022, con el fin de revisar por parte de las instituciones las actuaciones ocurridas el día 28 de septiembre de 2022, denominado acción global por un aborto libre para las mujeres .
Se Asiste a la Subcomisión para la garantía y seguimiento de los derechos de las mujeres, diversidades, disidencias sexuales y de género el día 14 de octubre de 2022, con el fin de revisar las actuaciones de la movilización y protesta social del día 28 de septiembre acción global por un aborto libre para las mujeres,
Se realizan entrevistas a los y las firmantes del Decreto 563 de 2015 los días 24,26 y 27 de octubre, con el fin de conocer los procesos y procedimientos por parte de Secretaría Distrital de Gobierno, Secretaría Distrital de Seguridad y Convivencia, Policia Metropolitana de Bogotá, Fundanción Lazos de Dignidad y Campaña Defender la Libertad, un asunto de todas dentro de las actuaciones de la movilización y protesta social
En el mes de noviembre Se Asiste a la reunión previa de la  Subcomisión para la garantía y seguimiento de los derechos de las mujeres, diversidades, disidencias sexuales y de género el día 04  de noviembre de 2022, con el fin de revisar por parte de las instituciones las actuaciones ocurridas el día 03 de noviembre en el marco de apoyo a las mujeres victimas de acoso y abuso del transporte público
Se realiza reunión extraordinaria del Decreto 563-015 el día 8 de noviembre, con el fin de revisar la capacidad logistica y tecnica interinstitucional para los Diálogos sociales vinculantes del Plan Nacional de Desarrollo
Se realiza reunión institucional el día 11 de noviembre, para coordinar de manera articulada entre instituciones el desarollo de  la movilización del día 25 de noviembre día de la eliminación de todo tipo de violencias en contra de las mujeres.
Se realiza reunión denominada "ciclovia nocturna" el día 22 de noviembre, con el fin de articular de manera interinstitucional la participación de las entidades para este espacio.
Se realiza reunión extraordinaria del Decreto 563-015 el día 23 de noviembre, con el fin de revisar la capacidad logistica, tecnica y de despliegue de las instituciones para el día 25 de noviembre día de la eliminación de todo tipo de violencias en contra de las mujeres.
Se realiza reunión con la Dirección de Gestión del Conocimiento para revisar el avance de la etnografia denominada exploración de los tipos de violencia contra las mujeres en escenario de manifestación y protesta social durante las jornadas del 25 de noviembre en Bogotá.</t>
  </si>
  <si>
    <t>El día 8 de marzo se asistió de manera presencial al centro de operaciones de emergencia (COE) para la instalación de Puesto de mando unificado por la convocatoria realizada por parte de Secretaría Distrital de Gobierno por el día Internacional de la Mujer.
El día 13 de marzo se acompañó de manera virtual al COE citado por Secretaría Distrital de Seguridad, con el fin de  la jornada de elecciones legislativas y consultas presidenciales.
El día 09 de abril se acompaño de manera virtual al COE citado por Secretaría Distrital de Seguridad, con el fin de acompañar el día de las victimas
El día 28 de abril  se realizó de manera presencial al centro de operaciones de emergencia (COE) para la instalación de Puesto de mando unificado por la convocatoria realizada por parte de Secretaría Distrital de Gobierno en conmemoración a un año del estalladio social del 2021.
En el mes de mayo el día 29 dse participó de manera presencial al centro de operaciones de emergencia (COE) para la instalación de Puesto de mando unificado por la convocatoria realizada por parte de Secretaría Distrital de Gobierno en relación a las elecciones presidenciales año 2022.
El día 19 de junio se asiste de manera presencial al centro de operaciones de emergencia (COE) para la instalación de Puesto de mando unificado por la convocatoria realizada por parte de Secretaría Distrital de Seguridad en relación a la segunda vuelta de elecciones presidenciales año 2022.
El día 03 de julio se asiste de manera presencial al centro de operaciones de emergencia (COE) para la instalación de Puesto de mando unificado por la convocatoria realizada por parte de Secretaría Distrital de Seguridad por el dìa del orgullo LGBTIQ+ y el dìa 20 de julio se asiste de manera virtual en el chat PMU-COE distrital por la posesiòn del Congreso de la Republica para el periodo 2022-2026
El día 07 de agosto se asiste de manera presencial al centro de operaciones de emergencia (COE) para la instalación de Puesto de mando unificado por la convocatoria realizada por parte de Secretaría Distrital de Seguridad para la posesión presidencial.
El día 28 de septiembre de 2022, se asiste de manera presencial al centro de operaciones de emergencia (COE) para la instalación de Puesto de mando unificado por la convocatoria realizada por parte de Secretaría Distrital de Gobierno, con motivo del Día de Acción Global por el acceso al Aborto Legal y Seguro.
El día 29 de octubre de 2022, se asiste de manera virtual a través de la plataforma Google Meet , con motivo de la protesta y movilización social citada para este día.
En el mes de noviembre se realizó Puesto de Mando Unificado, (PMU) en territorio en la Galeria Transfeminista, junto a la Secretaría de Gobierno, Secretaría de Seguridad y Gestores de Transmilenio por el día de la eliminación de todo tipo de violencias contra las Mujeres.
Para el mes de diciembre no se requirio ningún acompañamiento por parte de Secretaría de Gobierno, esta actividad no depende de la SDMujer, por lo que si gobierno no convoca, no se realiza ninguna actividad.</t>
  </si>
  <si>
    <t>Durante el mes de febrero se adelantaron acciones encaminadas a darle continuidad a las proyecciones que quedaron pendientes durante el 2021, se gestionó reunión con la Oficina Asesora de Planeación, convocando a las directivas de la SDMujer para darle respuesta a las consejeras territoriales sobre las inquietudes planteadas en la reunión de diciembre, sin embargo, las consejeras territoriales no se presentaron en la sesión virtual programada para el lunes 14/02/22, se está trabajando en la reprogramación del espacio liderado por la OAP. Se llevó a cabo sesión virtual con las profesionales de la estrategia Hablemos de Paridad de la Dirección de Territorialización y las consejeras territoriales el lunes 28/02/22 en donde se dio continuidad a la proyección de implementar pacto de corresponsabilidad al interior del CTPD.
Durante el mes de marzo se adelantaron acciones encaminadas a darle continuidad a las proyecciones que quedaron pendientes durante el 2021, se gestionó reunión con la Oficina Asesora de Planeación, convocando a las directivas de la SDMujer para darle respuesta a las consejeras territoriales sobre las inquietudes planteadas en la reunión de diciembre, sin embargo, la reunión se reprogramó para el 07/04/2022. Se llevó a cabo sesión virtual con las profesionales de la estrategia Hablemos de Paridad de la Dirección de Territorialización y el equipo de promoción de la participación y representación de las mujeres el 10/03/2022 en donde se aclararon aspectos relacionados con el pacto de corresponsabilidad y la proyección de la ejecución del mismo al interior del CTPD. Se gestionó en articulación con los profesionales de la Secretaría Distrital de Planeación que apoyan las acciones del CTPD, la delegación de la consejera Alexandra Useche Cuervo al Consejo Consultivo de Mujeres, información que se formalizó a través del envío del acta del proceso. Se llevó a cabo mesa de trabajo con la consejera Alexandra Useche Cuervo en donde se trabajó en los requerimientos que realizó para el encuentro que sostuvo con la subsecretaria en donde solicitó la armonización con la institucionalidad de ciertos procesos relacionados con la garantía de derechos para la población indígena asentada en los parques La Florida y Nacional y su accionar como consejera territorial de planeación distrital.
Durante el mes de abril se gestionó reunión liderada por la Oficina Asesora de Planeación, convocando a las diferentes dependencias de la SDMujer para darle respuesta a las consejeras territoriales sobre las inquietudes planteadas en la reunión de diciembre de 2021, dicho encuentro se llevó a cabo el 07/04/2022. De este encuentro quedó pendiente la resolución de inquietudes por parte del SIDICU y la Subsecretaría de Gestión Corporativa, por lo que a través del apoyo de la Subsecretaria de Políticas de Igualdad se viene gestionando información y la posibilidad de una  mesa de trabajo para la resolución de inquietudes. Asimismo, se logró la gestión y envío de la certificación de participación como consejera delegada por el CTPD al CCM y Sandra Mazo.
Durante el mes de mayo se gestionó mesa de trabajo con las consejeras territoriales y la directora del Sistema Distrital de Cuidado SIDICU de la SDMujer para dar respuesta a las inquietudes planteadas por las consejeras territoriales, planteadas durante la reunión de diciembre de 2021 con la Oficina Asesora de Planeación, dicho encuentro se llevó a cabo el 11/05/2022, del encuentro quedó como compromiso el envío del acta, la PPT de la sesión y las fichas técnicas de las manzanas del cuidado; compromisos que se enviaron en los tiempos estipulados a las consejeras territoriales. Se realizó un primer acercamiento a través de correo electrónico con los consejeros y consejeras de la mesa directiva del CTPD que al momento ha sido electa y se resolvió inquietud a través de correo electrónico a consejero territorial del CTPD por discapacidad con relación al Plan de Acción de la SDMujer.
Durante el mes de junio se gestionó mesa de trabajo con las consejeras territoriales y la Estrategia 50/50 Ruta por la Paridad de la Dirección de Territorialización de Derechos de la SDMujer para continuar con el proceso de articulación e implementación del Pacto de Paridad, dicho encuentro se llevó a cabo el 29/06/2022, del encuentro quedó como compromiso el envío del acta, el artículo de Angélica Bernal y un breve abstract de la estrategia, dando contexto de donde surge el Pacto de Paridad y cual es su relevancia, para continuar avanzando con la gestión al interior de la instancia de participación distrital con la valiosa gestión de las consejeras territoriales, quienes hace parte de las comisiones poblacional, de participacipon y del POT de la mesa directiva del CTPD. Por petición de la subsecretaria se crea agenda de implementación de acciones en el CTPD para lo que resta del año.
Durante el mes de julio se gestionó mesa de trabajo con profesional de la Estrategia 50/50 Ruta por la Paridad de la Dirección de Territorialización de Derechos de la SDMujer y profesional de la Secretaría Distrital de Planeación, quien realiza el proceso de acompañamiento técnico al CTPD, para continuar con el proceso de articulación e implementación del Pacto de Paridad al interior de la instancia de participación, dicho encuentro se llevó a cabo el 18/07/2022, se  dió a conocer el contexto de donde surge el Pacto de Paridad y cual es su relevancia, para continuar avanzando con la gestión al interior de la instancia de participación distrital con la valiosa gestión de las consejeras territoriales, quienes hace parte de las comisiones poblacional, de participacipon y del POT de la mesa directiva del CTPD, se realiza el respectivo envió de compromisos pendientes a las consejeras territoriales.
Durante el mes de agosto se gestionó mesa de trabajo con profesional de la Estrategia 50/50 Ruta por la Paridad de la Dirección de Territorialización de Derechos de la SDMujer la cual se llevó a cabo el 23/08/2022, en donde se revisó la propuesta de cronograma y el documento del Pacto de Paridad para continuar con el proceso de articulación e implementación del Pacto de Paridad al interior de la instancia de participación, se llevó a cabo encuentro con las tres con las tres consejeras territoriales el 25/08/2022, en donde se continuó con el proceso de articulación para avanzar hacia la firma del Pacto de Paridad con el CTPD, haciendo acuerdos de gestión con las consejeras territoriales, el documento del Pacto de Paridad ya fue revisado por la subsecretaria del Cuidado y Políticas de Igualdad y posterior a la exposición del mismo al CCM se realiza el envió a las consejeras territoriales. 
Se realizó gestión, seguimiento, proyección y envio de oficio respuesta a la Secretaría Distrital de Planeación relacionado con la delegación de consejera del CCM al CTPD.
Se gestionó petición de la consejera Alexandra Useche con la subsecretaria del Cuidado y Políticas de Igualdad sobre la ejecución de la estrategia vecinas, realizando el respectivo seguimiento a la petición.
Durante el mes de septiembre se se llevó a cabo mesa de trabajo con las consejeras territoriales electas por el sector mujer y con consejeras CTPD de otros sectores invitadas a participar del proceso del Pacto por la Paridad, se llevó a cabo de manera virtual el 29/09/2022, en donde se revisó la propuesta del documento del Pacto para continuar con el proceso de articulación e implementación al interior de la instancia de participación, avanzando hacia la firma del Pacto en el CTPD.
Se realizó gestión, seguimiento, proyección y envio de oficio respuesta a la Secretaría Distrital de Planeación relacionado con la delegación de consejera del CCM al CTPD, informando a la consejera Margarita Caicedo sobre la decisión de la mesa directiva del CTPD sobre la perdida de calidad de consejera por inasistencias injustificadas.
Se realizó envío de invitación a las consejeras territotoriales, para participar de la primera y segunda sesión virtual de los diálogos ciudadanos-rendición de cuentas 2022 "Las Mujeres Cuentan"
Durante el mes de octubre se llevaron a cabo mesas de trabajo virtuales los días 13/10/2022 y 24/10/2022 con las consejeras territoriales electas por el sector mujer y con consejeras CTPD de otros sectores invitadas a participar del proceso del Pacto por la Paridad, en donde se revisó la propuesta del documento del pacto para continuar con el proceso de articulación e implementación al interior de la instancia de participación, avanzando hacia la firma del mismo en el CTPD.
Se realizó seguimiento y solicitud del acta aprobada por el CTPD, en donde se especifica la perdida de la delegación de consejera del CCM para el CTPD a la Secretaría Distrital de Planeación, para informar a la secretaría técnica del CCM e iniciar cuanto antes el proceso de elección al interior de la instancias de participación.
Se realizó gestión y seguimiento a consulta jurídica planteada por la consejera territorial Sandra Mazo, sobre conflicto de intereses por posible elección al Consejo Nacional de Planeación, la consulta se escaló a la Secretaría Distrital de Planeación y al área jurídica de la SDMujer.
Se realizó envío de invitación a las consejeras territotoriales, para participar de la sesión de rendición de cuentas 2022 "Las Mujeres Cuentan" de la SDMujer.
Durante el mes de noviembre se llevó  a cabo mesa de trabajo virtual el día 30/11/2022 con la consejera electa para representar el CCM en el CTPD, en donde se realizó proceso de empalme sobre los procesos gestionados con las consejeras electas por el sector mujer para el CTPD, haciendo énfasis en el Pacto por la Paridad.
Se realizó gestión relacionada con el proceso de firma del Pacto por la Paridad con profesional de apoyo técnico al CTPD y consejeras territoriales, se ajustó el documento con los logos, se envío a revisión y se compartió a la Secretaría Distrital de Planeación y el CTPD para su conocimiento, la presentación del pacto continua pendiente como punto en la agenda para la próxima sesión de plenaria del CTPD.
Se realizó seguimiento, gestión y apoyo en la consecución de la elección de la consejera que representará al CCM en el CTPD, cumpliendo así con las tres representaciones por el sector mujer para la instancias de participación distrital, proceso que es informado y radicado a través de oficico y acta de sesión extraordinaria del CCM a la Secretaría Distrital de Planeación y el CTPD.
Se realizó gestión y seguimiento a consulta jurídica planteada por la consejera territorial Sandra Mazo, sobre conflicto de intereses por posible elección al Consejo Nacional de Planeación, la respuesta de la Secretaría Distrital de Planeación y el área jurídica de la SDMujer es compartida a la consejera.
Se realizó envío de invitación a las consejeras territotoriales, para participar de la sesión de rendición de cuentas 2022 "Las Mujeres Cuentan" de la SDMujer
Durante el mes de diciembre se llevó  a cabo mesa de trabajo virtual el día 12/12/2022 con la consejera territorial Alexandra Useche, en donde se realizó la aplicación preliminar del formulario de caracterización de las organizaciones sociales, proceso que se implementará en la vigencia 2023.
Se realizó gestión relacionada con el proceso de firma del Pacto por la Paridad con profesional de apoyo técnico al CTPD y consejeras territoriales, la presentación del pacto se implementará en la vigencia 2023.</t>
  </si>
  <si>
    <r>
      <t xml:space="preserve">De febrero a noviembre se consolidó listado herramientas y concertó cronograma difusión. Se avanzó en Manual de interpretación en Lengua de Señas Colombiana – LSC y Manual de Educación Superior y finalizó Manual de atención e inclusión educativa para mujeres diversas, lineamientos de atención a mujeres trans y personas no binarias y documento recomendaciones para incorporación del enfoque diferencial en atención a personas trans y no binarias en Manzana de Cuidado de Mártires. Se socializaron: lineamientos de atención a mujeres trans y personas no binarias; video eliminación de estereotipos mujeres mayores, manual de atención e inclusión educativa para mujeres diversas; video lineamientos de atención en salud a mujeres diversas; herramientas estrategia capacidades psico emocionales y estrategia cuidado menstrual. </t>
    </r>
    <r>
      <rPr>
        <b/>
        <sz val="11"/>
        <rFont val="Times New Roman"/>
        <family val="1"/>
      </rPr>
      <t xml:space="preserve">Diciembre: </t>
    </r>
    <r>
      <rPr>
        <sz val="11"/>
        <rFont val="Times New Roman"/>
        <family val="1"/>
      </rPr>
      <t xml:space="preserve">Avance, finalización y entrega del Manual de educación superior: entrega del capitulo cuantitativo (14 y 19-12-2022), reunión de seguimiento a los avances en la elaboración del manual (15-12-2022), reunión de socialización del manual, presentación de resultados y entrega en su versión preliminar para revisión y observaciones de las profesionales de educación flexible y de la directora de Enfoque Diferencial (20-12-2022). Reunión de balance final anual del diseño y socialización de herramientas (21-12-2022). Socialización a personal de las cuatro subredes de salud del video de lineamientos de atención en salud a mujeres diversas (12-12-2022). </t>
    </r>
  </si>
  <si>
    <r>
      <t xml:space="preserve">Enero a noviembre se actualizó procedimiento asistencia técnica - AT, definieron cronogramas con 5 sectores y avanzó en implementación; se hicieron acciones de transversalización del enfoque diferencial – ED con 7 sectores. </t>
    </r>
    <r>
      <rPr>
        <b/>
        <sz val="11"/>
        <color rgb="FF000000"/>
        <rFont val="Times New Roman"/>
        <family val="1"/>
      </rPr>
      <t>Diciembre:</t>
    </r>
    <r>
      <rPr>
        <sz val="11"/>
        <color rgb="FF000000"/>
        <rFont val="Times New Roman"/>
        <family val="1"/>
      </rPr>
      <t xml:space="preserve"> Seminario de cierre de actividades estrategia CALDAS (Construcción de Ambientes Laborales Diversos, Amorosos y Seguros) (9,16-12-2022) y evaluación final de la asistencia técnica brindada al sector Gestión Pública (22-12-2022). Taller con 19 personas de Subdirección de Libertad Religiosa y de Conciencia sobre mujeres con discapacidad (15-12-2022) y evaluación final de la asistencia técnica brindada (15-12-2022); revisión final Manual de Gestión Social Caja de Vivienda Popular con ajustes para incorporar enfoque de género y ED (7-12-2022), acompañamiento Unidad Administrativa Especial de Servicios Públicos – UAESP en 2do. encuentro con mujeres recicladoras de oficio (12-12-2022) y evaluación final de la asistencia técnica brindada al sector Hábitat (19-12-2022); evaluación final de la asistencia técnica y el Convenio 914 de 2021 suscrito con Secretaría de Educación – Dirección de Inclusión e Integración de Poblaciones para educación flexible y transversalización del ED (15-12-2022). 2 reuniones de preparación y seguimiento a la AT (9, 13 y 14-12-2022); 1 reunión planeación evaluación interna de la AT (19-12-2022) y 1 reunión de evaluación interna de la AT (20-12-2022). Acciones transversalización del ED Sector Mujeres: participación reunión de cierre Mesa Distrital de Educación Superior y Violencias Basadas en Género (6-12-2022), socialización a equipo de abogadas de SDMujer de guía de buenas prácticas para investigación y judicialización de violencias hacía personas LGBTI de la Fiscalía General de la Nación (6-12-2022), comentarios para incorporar el ED al proyecto de acuerdo sello de igualdad (7-12-2022), 16 servicios de interpretación en LSC para atención e inclusión de mujeres sordas (1,2,9,12,13,14,19,20,21 22 y 23-12-2022).</t>
    </r>
  </si>
  <si>
    <t xml:space="preserve">Definición de 5 sectores (Hábitat; Cultura, Recreación y Deporte; Gobierno; Gestión Pública y Educación) donde se brindó la asistencia técnica, definición de cronogramas de asistencia técnica y cumplimiento de estos, llegando a servidoras y servidores con procesos de sensibilización y acciones de acompañamiento e implementación para la incorporación del enfoque diferencial en políticas, estrategias y acciones dirigidas a las mujeres en sus diferencias y diversidad. Eliminación de barreras de acceso comunicativas a servicios de la SDMujer para ciudadanas sordas. Se cuenta con herramientas identificadas y cronograma de divulgación con sectores de la Administración Distrital y se han socializado 16 herramientas y formulado 2 nuevas. Se cuenta con propuesta de formulación del Plan de Fortalecimiento Interno de la SDMujer aprobada por la secretaria de la Mujer y comité directivo; se cuenta con información actualizada de los servicios que presta la SDMujer para identificar las barreras de acceso y con equipo de enlaces de las distintas dependencias para formular el Plan de Fortalecimiento Interno de la SDMujer. Se formularon y validaron las metodologías para identificar barreras de acceso con usuarias de los servicios y servidoras que los prestan. Se identificaron barreras de acceso a los servicios de la SDMujer en 9 grupos focales con servidoras y 6 grupos focales con usuarias de los servicios. Se diseño encuesta para identificar barreras de acceso a los servicios con usuarias y se aplicaron 63 encuestas. Se analizó y consolidó información recogida en grupo focales y encuestas y se entregó a las dependencias para su validación. Se formuló documento preliminar del Plan de Fortalecimiento. </t>
  </si>
  <si>
    <t>En el mes de  diciembre se realizaron atenciones a 542 mujeres nuevas en toda su diferencia y diversidad en las distintas estrategias desde la Dirección de Enfoque Diferencial</t>
  </si>
  <si>
    <t xml:space="preserve">Se actualizó el procedimiento “Asistencia técnica a los Sectores de la Administración Distrital y las localidades para la transversalización del enfoque diferencial” y se priorizaron 5 sectores para su implementación, se definieron cronogramas, los cuales se cumplieron en un 100% y se hizo seguimiento. Se priorizaron temas y adelantaron jornadas de intercambio de conocimientos para la asistencia técnica y se realizaron acciones de transversalización del enfoque diferencial con los sectores Educación; Mujeres; Planeación; Cultura, Recreación y Deporte; Gestión Pública; Gobierno, Hábitat y Salud. Se consolidó información sobre herramientas elaboradas y a elaborar (20 en total) y definió cronograma de difusión. Se avanzó en diseño de 2 herramientas previstas para 2022 y revisión y ajuste de 3 elaboradas en 2021. Se avanzó en difusión de 16 herramientas.  Se diseñó propuesta para formular el plan de fortalecimiento y se validó con la secretaria de la Mujer y comité directivo. Se consolidó información de servicios de la SDMujer para identificar barreras de acceso y se conformó equipo de enlaces de las dependencias para coordinar actividades. Se elaboraron y remitieron al equipo de enlaces las metodologías para realizar grupos focales con ciudadanas, servidoras y servidores y se propuso cronograma. Se realizaron 3 reuniones de coordinación con enlaces para validar las metodologías y los grupos propuestos. Se realizaron 9 grupos focales con servidoras y 6 con usuarias para identificar barreras de acceso a los servicios; 5 reuniones de coordinación y preparación de los grupos focales; 3 reuniones de construcción de encuesta para usuarias de los servicios y 1 reunión para distribuir la sistematización de la información recogida en los grupos focales. 5 reuniones para consolidar información de grupos focales y encuestas y 1 para entregar información a las dependencias para su validación. Se formuló documento preliminar del Plan de Fortalecimiento. </t>
  </si>
  <si>
    <r>
      <t xml:space="preserve">En julio de 2022 se realizaron 22 jornadas siginificativas de empoderamiento dirigidas a niñas, adolescentes y mujeres jóvenes, en agosto se realizaron 4 jornadas con un impacto a 52 niñas y adolescentes; en septiembre se realizó una jornada significativa con un impacto a 9 mujeres jóvenes; en octubre se realizaron 3 jornadas significativas en el Castillo de las artes impactando a 34 niñas, en noviembre se realizaron 6 jornadas significativas impactando a 56 niñas y adolescentes y en  </t>
    </r>
    <r>
      <rPr>
        <b/>
        <sz val="11"/>
        <color rgb="FF000000"/>
        <rFont val="Times New Roman"/>
        <family val="1"/>
      </rPr>
      <t>diciembre</t>
    </r>
    <r>
      <rPr>
        <sz val="11"/>
        <color rgb="FF000000"/>
        <rFont val="Times New Roman"/>
        <family val="1"/>
      </rPr>
      <t xml:space="preserve"> se llevó a cabo una jornada significativa con un impacto a 10 mujeres jóvenes. </t>
    </r>
  </si>
  <si>
    <r>
      <t xml:space="preserve">Durante los meses de enero y febrero de 2022 se realizó cierre del convenio 850 del 2021 con la OEI. En el mes de abril se redactó documento de anexo técnico con ajustes y especificaciones para un nuevo convenio de cooperación internacional con la OEI. En mayo,  se adelantaron semilleros de empoderamiento dirigidos a mujeres jóvenes y a adolescentes, el primero en articulación con la Fundación Universitaria Monserrate con la participación de 20 mujeres jóvenes, y el segundo con la Fundación PLAN con la participación de 18 niñas y adolescentes. En  julio y agosto se continuó avanzando en la organización de estudios previos y anexo técnico para la firma de convenio de cooperación internacional con la OEI, asi como la concertación con las referentas de poblaciones, identificando temáticas a abordar y mujeres priorizadas. En septiembre se suscribió el convenio con OEI, para el desarrollo de 7 semilleros de empoderamiento, en este mes se desarrollaron 2 encuadres técnicos con el equipo de OEI y la SDMujer, asi mismo se adelantaron gestiones con las profesionales de trabajo en comunidad para focalizar la población acorde  a las necesidades. En octubre se desarrollaron 5 semilleros de empoderamiento con niñas y adolescentes y mujeres jóvenes, así: con raizales (8 jóvenes), trans (5 adolescentes), ASP (5 jovenes), Afrocolombianas (44 niñas y adolescentes) y palenqueras (14 jóvenes). </t>
    </r>
    <r>
      <rPr>
        <sz val="11"/>
        <rFont val="Times New Roman"/>
        <family val="1"/>
      </rPr>
      <t>En el mes de noviembre desarrollaron 8 semilleros de empoderamiento: Afro (15 niñas), Afro (9 niñas y adolescentes),</t>
    </r>
    <r>
      <rPr>
        <sz val="11"/>
        <color rgb="FF000000"/>
        <rFont val="Times New Roman"/>
        <family val="1"/>
      </rPr>
      <t xml:space="preserve"> Campesinas (17 adolescentes), Lesbianas y Bisexuales (6 jóvenes), Trans (7 mujeres), Discapacidad cognitiva (10 jóvenes), Discapacidad física (32 mujeres), Mujeres en riesgo de habitar calle (23 jóvenes). En diciembre se realizó la revisión documental y sistematización para la finalización del convenio.</t>
    </r>
  </si>
  <si>
    <r>
      <t xml:space="preserve">Desde febrero de 2022 se realizó convocatoria permanente para realizar el curso Observo, identifico y protejo con un total de 183 personas certificadas durante el primer semestre. En agosto se certificaron 5 personas, en septiembre se certificaron 11 personas, en octubre se certificaron 265 persona, en noviembre se certificaron 33 personas y en  </t>
    </r>
    <r>
      <rPr>
        <b/>
        <sz val="11"/>
        <color rgb="FF000000"/>
        <rFont val="Times New Roman"/>
        <family val="1"/>
      </rPr>
      <t>diciembre</t>
    </r>
    <r>
      <rPr>
        <sz val="11"/>
        <color rgb="FF000000"/>
        <rFont val="Times New Roman"/>
        <family val="1"/>
      </rPr>
      <t xml:space="preserve"> 1 persona. En total para la vigencia 2022 se certificaron 498 personas,identificandose la participación de profesionales de diferentes entidades que trabajan por la protección de niños, niñas, cuidadores y cuidadoras, madres y padres fortaleciendo así el conocimiento de los derechos de la niñez y prevencion y atención de las violencias basadas en género. </t>
    </r>
  </si>
  <si>
    <r>
      <t>Hasta el mes de noviembre se había avanzado con el desarrollo del contenido audiovisual final del "reel" de la campaña No te tapones, dirigida a mujeres habitantes de calle. Asimismo, se han publicado en las redes de la entidad (facebook e instragram), el reel del evento de cierre y entrega de kits a las mujeres privadas de la libertad de la Cárcel Distrital, información sobre las jornadas de dignidad menstrual y tips generales sobre la estrategia y se desarrolló la guía técnica para fortalecimiento a equipos distritales respecto a las Jornadas de Dignidad Menstrual, la cual se socializó y envío a las instituciones que coordinan la EDCM. Se realizó el plan de trabajo con los contenidos para las cápsulas para abordar el tabú menstrual, se coordinó la difusión de las piezas presentadas en el Plan de Trabajo y se realizaron dos reuniones con el área de comunicaciones para proyectar las piezas comunicativas del Festival por la Dignidad Menstrual que se realizó en el mes de noviembre. Se crearon y publicaron tres cápsulas para romper el tabú y prejuicio alrededor de la menstruación y se publicó la programación del Festival por la Dignidad Menstrual. En</t>
    </r>
    <r>
      <rPr>
        <b/>
        <sz val="11"/>
        <color rgb="FF000000"/>
        <rFont val="Times New Roman"/>
        <family val="1"/>
      </rPr>
      <t xml:space="preserve"> diciembre</t>
    </r>
    <r>
      <rPr>
        <sz val="11"/>
        <color rgb="FF000000"/>
        <rFont val="Times New Roman"/>
        <family val="1"/>
      </rPr>
      <t xml:space="preserve"> se publicaron 5 videos que invitaban a la feria de cuidado menstrual.</t>
    </r>
  </si>
  <si>
    <r>
      <t xml:space="preserve">A noviembre se realizaron 9 recorridos por la dignidad menstrual en las localidades de Fontibón, Bosa, Santafé (4 recorridos), San Cristóbal, Suba y Usaquén. En  estos espacios se entregaron kits de la SDmujer, de SDIS y de IDIPRON impactando 216 mujeres habitantes de calle. Se realizaron 6 jornadas de dignidad menstrual con 183 mujeres habitantes de calle, en las localidades de Kennedy, Los Mártires (2 jornadas), Ciudad Bolívar, Engativá y Chapinero. Se realizaron los fortalecimientos al equipo de IDIPRON en el que participaron 45 personas servidoras públicas, con el equipo del centro de alta dependencia de la SDIS y dos sesiones equipo de referentes de la CIO´S de la SDMujer, participaron 21 personas servidoras públicas, también se realizaron 2 sesiones de Fortalecimiento a 27 servidores del equipo de unidades operativas locales de SDIS y se llevaron a cabo 4 fortalecimientos a los equipos de territorio de SDIS en los que participaron 179 servidoras y servidores. Se continuó el trabajo con los espacios de fortalecimiento y profundización en Cuidado Menstrual con mujeres privadas de la libertad, se realizó la última sesión con VICALA en la cual participaron 11 mujeres . Al mes de septiembre se cumplió el 100% de lo proyectado en la actividad; no obstante, en el </t>
    </r>
    <r>
      <rPr>
        <b/>
        <sz val="11"/>
        <color rgb="FF000000"/>
        <rFont val="Times New Roman"/>
        <family val="1"/>
      </rPr>
      <t>mes de diciembre</t>
    </r>
    <r>
      <rPr>
        <sz val="11"/>
        <color rgb="FF000000"/>
        <rFont val="Times New Roman"/>
        <family val="1"/>
      </rPr>
      <t xml:space="preserve"> se hizo el cierre del proceso con mujeres privadas de la libertad y se entregaron 11 kits. </t>
    </r>
  </si>
  <si>
    <r>
      <t xml:space="preserve">Abril: El  29 de abril se participa de la instalación de la mesa de trabajo de bienestar emocional,  liderada por la Secretaría de Salud (Dirección de Participación Ciudadana) para articular acciones de promoción desde los diferentes sectores del distrito, en este espacio se realizará la socialización de la estrategia y se invitará a los y las asistentes al grupo focal proyectado para la definición del alcance del curso dirigido a profesionales que realizan atención psicosocial.
Mayo: No se realizó avance en la actividad.
Junio: El  14 de junio se realizó socialización de la estrategia en la mesa de trabajo de bienestar emocional, acordando generar articulación para que profesionales psicosociales puedan realizar el curso propuesto y el 24 de junio se llevó a cabo socialización de la estrategia con el equipo psicosocial de territorialización y posterior grupo focal para la definición del mismo.
Julio y agosto  No se realizó avance en la actividad, pendiente inicio del convenio de cooperación con OEI.
Septiembre: Se realizó envío de insumos a OEI para la elaboración del módulo de recomendaciones para la transversalización del enfoque diferencial que complementará la experiencia de formación en educación emocional
Octubre: Se realizó convocatoria e inicio de la escuela de educación emocional con profesionales psicosociales, contando con 50 personas inscritas.
Noviembre: Se realizó la construcción y montaje del módulo de recomendaciones para la transversalización del enfoque diferencial. Un grupo de 50 profesionales psicosociales realizaron la escuela de educación emocional incluido el módulo de recomendaciones para la transversalización del enfoque diferencial. 
</t>
    </r>
    <r>
      <rPr>
        <b/>
        <sz val="11"/>
        <rFont val="Times New Roman"/>
        <family val="1"/>
      </rPr>
      <t>Diciembre:</t>
    </r>
    <r>
      <rPr>
        <sz val="11"/>
        <rFont val="Times New Roman"/>
        <family val="1"/>
      </rPr>
      <t xml:space="preserve"> Se realizó encuesta final de satisfacción con las profesionales que cursaron la experiencia de formación con el propósito de identificar logros, aciertos y oportunidades de mejora. </t>
    </r>
  </si>
  <si>
    <t xml:space="preserve">Durante el año 2022, se dio continuidad a la operación de la Estrategia Casa de Todas con atención presencial y telefónica, brindando atención integral y acompañamiento a 2.632 mujeres que realizan actividades sexuales pagadas. Se realizaron 12,893 atenciones en el periodo desagregadas por área así: 6.152 intervenciones por trabajo social, 4.386 actuaciones jurídicas y 2.355 atenciones psicosociales, con el fin de contribuir a la garantía de los derechos, combatir la estigmatización y mejorar la calidad de vida de la población a través de una oferta institucional diferencial y especializada. Producto de estas asesorías, se ha logrado la caracterización detallada de la población atendida, la sistematización de las acciones realizadas, informes mensuales del trabajo realizado, y la prestación de los servicios requeridos por la población en el marco de las competencias de la entidad. 
Se han realizado jornadas de salud que incluyen cuidado de salud sexual y reproductiva y socialización de la PPASP (8) y otros servicios de otras entidades en Casa de Todas y en territorios como Kennedy,  Ciudad Bolívar, Fontibón, Suba, Tunjuelito, Engativá, Bosa y Barrios Unidos y Santa Fé (Plaza de la Mariposa). Se ha articulado con otras estrategias, llevando a las mujeres espacios de cuidado psicoemocional (7), escuelas de educación emocionales (3), espacios de cuidado menstrual (3), encuentros poblacionales (10), ferias de empleabilidad (2) y una feria de emprendimiento. </t>
  </si>
  <si>
    <t>Durante el año 2022, se atendieron en el área jurídica 1.092 mujeres y se realizaron 4.386 atenciones desagregadas así: 1.090 asesorías, 2.967 seguimientos y 329 valoraciones iniciales. Se cumplió en forma oportuna y efectiva con la orientación y asesoría requerida por las personas asistentes, con la entrega de la información precisa sobre los temas consultados y las acciones legales pertinentes respectivas.  Se prestó atención telefónica y presencial, con mayor participación de las mujeres beneficiarias e incluso con mayor cumplimiento de la agenda por parte de las señoras citadas. En el marco de estas atenciones, durante el periodo se logró además de dar las asesorías requeridas, el seguimiento a casos en curso y la elaboración y trámite de: 
*101 Derechos de petición
*36 Impulso procesal
*60 Procesos de representación
*43 Comités jurídicos de enlaces
*38 Comités jurídicos virtuales
*91 Comités estudio de casos
*15 Audiencias
*46 Ponencias comités de enlaces
*1 Tutela</t>
  </si>
  <si>
    <t>Durante el año 2022 se consolidó y elaboró:
1-Boletín preliminar de caracterización de personas ASP atendidas en Casa de Todas en 2021 (enero a noviembre)
2-Boletín caracterización de personas ASP atendidas en Casa de Todas en 2021
3-Boletín caracterización de personas ASP atendidas en Casa de Todas Trimestre I de 2022
4-Boletin caracterización de personas ASP atendidas 2021. Comparativo Colombianas y Venezolanas. 
5-Boletin caracterización de personas ASP atendidas en Casa de Todas primer semestre 2022. Comparativo Colombianas y Venezolanas.
6-Boletín identificación establecimientos ASP primer semestre de 2022.
7-Boletin caracterización de personas ASP atendidas en Casa de Todas enero a julio 2022. Comparativo Colombianas y Venezolanas.
8-Boletín caracterización de personas ASP atendidas en Casa de Todas Trimestre III de 2022
9-Boletin caracterización de personas ASP atendidas en Casa de Todas 2016 a octubre 2022. Comparativo Colombianas y Venezolanas.
10-Boletín caracterización socio-económica ASP atendidas en Casa de todas Enero a Noviembe 2022
11- Boletín GEO caracterización establecimientos ASP Comparativo 2019 - 2022</t>
  </si>
  <si>
    <t xml:space="preserve">Durante el año 2022 se atendieron 1.983 mujeres en trabajo social y se realizaron 6.152 atenciones desagregadas así: 1.890 intervenciones, 3.701 seguimientos y 561 valoraciones iniciales. Derivado de la emergencia por el COVID-19, durante el periodo se realizó atención presencial y telefónica. A través de la atención, en el periodo se logró dar respuesta a las siguientes necesidades específicas:
*37 Remisión para IVE
*37 Portabilidad
*301 Solicitud de encuesta socioeconomica SISBEN
*125 Afiliaciones al sistema de salud
*252 Activación servicios de SDIS, proyecto enlace emergencia social , bono de adulto mayor y jardines
*1229 Solicitud cupo DLE
*276 Proceso educación flexible
*68 Formación cursos técnicos SENA
*107 Anticoncepción
*6 Ruta de intermediación laboral con el SENA
*215 Formación para el trabajo con la Fundación Miquelina y Conviventia
*2 Solicitud de citas médicas con el Comité Internacional de Rescate
*456 Pruebas rápidas con Secretaría de Salud
*30 Duplicados de cédula
*268 Fondo Nacional del Ahorro
*163 Subsidios con Habitat
*489 Salud sexual y reproductiva liga contra el cáncer
*10 Unidad para las víctimas
*1 Secretaría Desarrollo Económico, estas son remisiones a la manzana del cuidado
*1 Idipron actividades para jóvenes
*172 Empleabilidad
*6 Salud movilidad
*7 Traslado municipio salud.
*4 educacion superior
*1 Ruta Víctimas del Conflicto Armado.      </t>
  </si>
  <si>
    <r>
      <t xml:space="preserve">De enero a noviembre se realizaron las gestiones operativas de articulación con las diferentes instituciones de los convenios (ICFES, Google, BID, Makaia, SED, ACNUR y Universidades) de las cuales ya se han firmado los convenios/contratos/acuerdos de entendimiento con el ICFES, Google y el BID para la implementación de la estrategia de educación flexible, especialmente en la gestión del contrato interadministrativo con el ICFES suscrito a finales de junio. Por otra parte, se avanzó en la construcción  del acuerdo de entendimiento con MAKAIA y la construcción de los estudios previos con la Universidad Nacional para la formalización de la contratación de la escuela indígena para mujeres. Durante noviembre se realizaron las acciones de seguimiento para dar firma al acuerdo de entendimiento con MAKAIA. En </t>
    </r>
    <r>
      <rPr>
        <b/>
        <sz val="11"/>
        <color theme="1"/>
        <rFont val="Times New Roman"/>
        <family val="1"/>
      </rPr>
      <t>diciembre</t>
    </r>
    <r>
      <rPr>
        <sz val="11"/>
        <color theme="1"/>
        <rFont val="Times New Roman"/>
        <family val="1"/>
      </rPr>
      <t xml:space="preserve"> se elaboró la versión final memorando de entendimiento con MAKAIA quedando pendiente la suscripción.</t>
    </r>
  </si>
  <si>
    <r>
      <t xml:space="preserve">Durante marzo a noviembre se avanzó en estas acciones: 1. El registro e inscripción de las pruebas Saber 11° para las 327 mujeres beneficiarias del proceso. Se realizó la primera feria de educación superior en junio y también una reunión de articulación con la agencia de educación superior ATENEA. Durante agosto, se avanzó la realización de 12 sesiones de preparación para las pruebas Saber 11° desarrolladas para las mujeres beneficiaras del proceso (Sesión de matematicas (2), ciencias naturales (2), ciencias sociales (1), lectura crítica (1), inglés (1), sesiones contratadas con el ICFES (4) y sesión de simulacro (1)). Además, se ha realizado la caracterización de las participantes para el informe final de resultados del ICFES y se realizó el acompañamiento a las 327 mujeres citadas a las Pruebas Saber 11° el domingo 4 de septiembre. En noviembre se realizaron las gestiones para desarrollar  la Tercera Feria de Educación Superior con la participación de 17 universidades y 111  asistentes el 19 de noviembre. Adicionalmente, se brindó apoyo a las mujeres inscritas en el programa con el ICFES para consultar los resultados individuales de las pruebas Saber 11°. En </t>
    </r>
    <r>
      <rPr>
        <b/>
        <sz val="11"/>
        <color rgb="FF000000"/>
        <rFont val="Times New Roman"/>
        <family val="1"/>
      </rPr>
      <t xml:space="preserve">diciembre </t>
    </r>
    <r>
      <rPr>
        <sz val="11"/>
        <color rgb="FF000000"/>
        <rFont val="Times New Roman"/>
        <family val="1"/>
      </rPr>
      <t xml:space="preserve">se realizó la entrega final del informe de resultados académicos de las pruebas Saber 11° 2022 el cual fue revisado y aprobado por la DED. </t>
    </r>
  </si>
  <si>
    <r>
      <t>Entre enero y noviembre se realizaron las siguientes acciones en esta línea: 1. Escuela indígena: Reuniones con diferentes universidades (Javeriana,  Rosario, U. Nacional y Andes) para recibir las cotizaciones del proceso formativo, y se continuó trabajando en conjunto con la Dirección de Contratación para poder definir la modalidad contractual idónea para realizar este proceso; sin embargo, el proceso no fue aprobado por las Autoridades Indígenas. 2. Dirección de Gestión del Conocimiento: Se realizaron 4 sesiones de formación para el personal de los centros de inclusión y formadores del SENA. Adicionalmente, con esta dirección se habilitaron tres cursos de formación de inglés básico y 1 curso de herramientas ofimaticas para mujeres sordas. 3. En tercer lugar, desde la línea con Google, se realizaron reuniones de coordinación para establecer las fechas de implementación de los talleres pactados. En el mes de noviembre, se culminó el cuarto curso del SENA de la dirección de enfoque diferencial, en este último caso de herramientas ofimáticas para mujeres sordas con 33 mujeres certificadas. Además, con el SENA se realizaron 2 talleres (21  nov y 30 noviembre de 2022) de sensibilización del enfoque de género y diferencial para aprendices de 2 centros educativos para 95 mujeres. Finalmente, se realizó una reunión de seguimiento con MAKAIA para la implementación del curso de formación en desarrollo web y programación. En di</t>
    </r>
    <r>
      <rPr>
        <b/>
        <sz val="11"/>
        <color rgb="FF000000"/>
        <rFont val="Times New Roman"/>
        <family val="1"/>
      </rPr>
      <t>ciembre</t>
    </r>
    <r>
      <rPr>
        <sz val="11"/>
        <color rgb="FF000000"/>
        <rFont val="Times New Roman"/>
        <family val="1"/>
      </rPr>
      <t xml:space="preserve"> se participó del evento de graduación del SENA para las mujeres que han cursado la formación complementaria, y en el acuerdo con MAKAIA se hizo entrega de la información del registro de las mujeres para las becas de programación y desarrollo web y de la matriz de seguimiento. </t>
    </r>
  </si>
  <si>
    <r>
      <t xml:space="preserve">Entre enero a noviembre se realizó la inscripción y el seguimiento de las mujeres de Casa de Todas interesadas en la estrategia de Educación Flexible para el I y II semestre de 2022 con un total de 68 mujeres inscritas en el primero y 46 en el segundo semestre. Adicionalmente, se dio la firma del acta de inicio del convenio con la SED y se han realizado reuniones mensuales de seguimiento a la implementación. Además, se realizaron dos jornadas de capacitación a los docentes de Casa de Todas sobre el enfoque de género y diferencial. Así mismo, durante este primer semestre se realizó la inscripción de 24 mujeres de ASP en el proceso de las pruebas Saber 11° y las reuniones mensuales de seguimiento con la SED. Por otro lado, se han realizado reuniones mensuales de seguimiento a la implementación de Educación Flexible con el convenio 914 de 2021. En el año se avanzó en el proceso de matriculación del II semestre de Casa de Todas para un total de 45 mujeres matriculadas y 10 graduadas en el segundo semestre. Frente al proyecto con el BID en educación flexible se avanzó en el seguimiento semanal en la manzana de cuidado de Mártires y comités técnicos realizados con la SED. En noviembre se acompañó el proceso de clausura de las estudiantes de educación flexible del Castillo de las Artes y de Casa de Todas en las cuales se  graduaron  15 y 10 mujeres, respectivamente. En </t>
    </r>
    <r>
      <rPr>
        <b/>
        <sz val="11"/>
        <color rgb="FF000000"/>
        <rFont val="Times New Roman"/>
        <family val="1"/>
      </rPr>
      <t xml:space="preserve">diciembre </t>
    </r>
    <r>
      <rPr>
        <sz val="11"/>
        <color rgb="FF000000"/>
        <rFont val="Times New Roman"/>
        <family val="1"/>
      </rPr>
      <t xml:space="preserve">se realizó la reunión de cierre anual del convenio 914 con la SED donde se evaluó la ejecución de educación flexible en el 2022 en Casa de Todas. Adicionalmente, frente al convenio con el BID se revisaron  8 fichas pedagógicas desde el enfoque diferencial, se realizó  un documento de recomendaciones para la inclusión del enfoque diferencial y se dos reuniones de seguimiento del proyecto (01  y 15 de diciembre). </t>
    </r>
  </si>
  <si>
    <t xml:space="preserve">Se han formalizado las alianzas respectivas con el ICFES, BID, Google, ACNUR, la SED y Makaia para la implementación de la Estrategia. 
Se realizó todo el proceso de registro y acompañamiento de las pruebas Saber 11° en el 2022. (327 mujeres)
Se realizó la feria semestral de educación superior para mujeres diversas. (120 mujeres junio 2022 y 111 mujeres diversas 19 noviembre 2022.) 
Se abrieron tres cursos del SENA del nivel de inglés básico con 43 mujeres certificadas. 
Se abrió un curso de habilidades digitales con el SENA para 33 mujeres sordas. 
Se graduaron 10 mujeres de educación Flexible de Casa de Todas (II- semestre 2022) y 13 del I semestre 2022 y 15 mujeres del piloto en El Castillo de las Artes (II- semestre 2022)  
Se formó a 95 mujeres en sensbilizaciones sobre el enfoque de género y diferencial para aprendices SENA. </t>
  </si>
  <si>
    <t>En lo corrido del año se realizaron 61 encuentros diferenciales con la participación de 825 mujeres en sus diferencias y diversidad. Se llevaron a cabo 17 conmemoraciones de mujeres palenqueras, adultas, mayores, campesinas y rurales, con discapacidad, raizales, lesbianas y bisexuales, habitantes de calle, jóvenes, sordas, cuidadoras, negras/afrocolombianas, gitanas, indígenas, trans, ASP, cuidado menstrual y migrantes, con la participación de un total de 1.591 mujeres vinculadas a todas las conmemoraciones. Se realizaron 3 sensibilizaciones con los 15 sectores de la administración distrital por medio de sus equipos de comunicaciones y los de atención a la ciudadania con la participación de 114 funcionarios y/o servidores de la administración distrital.</t>
  </si>
  <si>
    <r>
      <t xml:space="preserve">Desde la </t>
    </r>
    <r>
      <rPr>
        <b/>
        <sz val="11"/>
        <rFont val="Times New Roman"/>
        <family val="1"/>
      </rPr>
      <t>Estrategia de empoderamiento</t>
    </r>
    <r>
      <rPr>
        <sz val="11"/>
        <rFont val="Times New Roman"/>
        <family val="1"/>
      </rPr>
      <t xml:space="preserve">  se logró brindar  herrramientas de empoderamiento a niñas, adolescentes y mujeres jóvenes, fortaleciendo su comprensión y la detección a atención de violencias basadas en género. 
Desde la </t>
    </r>
    <r>
      <rPr>
        <b/>
        <sz val="11"/>
        <rFont val="Times New Roman"/>
        <family val="1"/>
      </rPr>
      <t xml:space="preserve"> Estrategia de capacidades psicoemocionales </t>
    </r>
    <r>
      <rPr>
        <sz val="11"/>
        <rFont val="Times New Roman"/>
        <family val="1"/>
      </rPr>
      <t xml:space="preserve">se  aportó al bienestar emocional y el fortalecimiento de capacidades para la gestión emocional de las mujeres en su diversidad, así como la búsqueda y consolidación de redes de apoyo y trabajo de cooperación entre sectores del distrito y con organizaciones internacionales favoreciendo la sostenibilidad y capacidad de la estrategia.  
Desde la </t>
    </r>
    <r>
      <rPr>
        <b/>
        <sz val="11"/>
        <rFont val="Times New Roman"/>
        <family val="1"/>
      </rPr>
      <t>Estrategia de cuidado menstrual</t>
    </r>
    <r>
      <rPr>
        <sz val="11"/>
        <rFont val="Times New Roman"/>
        <family val="1"/>
      </rPr>
      <t>, se  posibilita la vivencia digna de la menstruación  a hombres transgénero y personas no binarias habitantes de calle en el Distrito Capital,en el marco del ejercicio de derechos, atendiendo a las solicitudes de la Corte Constitucional de acuerdo con la Sentencia T398-19 ampliando a estas actividades a mujeres pertenecientes a otras poblaciones</t>
    </r>
  </si>
  <si>
    <r>
      <t xml:space="preserve">Desde la Estrategia de empoderamiento entre los meses de enero a diciembre se impactaron  632 niñas, adolescentes y mujeres jóvenes en sus diferencias y diversidad. En el marco del convenio con OEI se realizaron 13 semilleros de empoderamiento impactando a 194 niñas, adolescentes y mujeres jóvenes. Adicionalmente se realizaron 37 jornadas significativas con un impacto a 161 niñas, adolescentes y mujeres jóvenes y se certificaron 498 personas en el curso observo, identifico y protejo. 
Desde la </t>
    </r>
    <r>
      <rPr>
        <b/>
        <sz val="11"/>
        <rFont val="Times New Roman"/>
        <family val="1"/>
      </rPr>
      <t>Estrategia de capacidades psicoemocionales</t>
    </r>
    <r>
      <rPr>
        <sz val="11"/>
        <rFont val="Times New Roman"/>
        <family val="1"/>
      </rPr>
      <t>, entre enero y diciembre se realizaron 88 espacios respiro impactando a 1.457 mujeres participantes. Se desarrollaron 17 escuelas de educación emocional presencial  para un total de 377 participantes y una escuela de educación virtual con 147 mujeres en sus diferencias y diversidad.</t>
    </r>
    <r>
      <rPr>
        <b/>
        <sz val="11"/>
        <rFont val="Times New Roman"/>
        <family val="1"/>
      </rPr>
      <t xml:space="preserve"> 
</t>
    </r>
    <r>
      <rPr>
        <sz val="11"/>
        <rFont val="Times New Roman"/>
        <family val="1"/>
      </rPr>
      <t>Desde la</t>
    </r>
    <r>
      <rPr>
        <b/>
        <sz val="11"/>
        <rFont val="Times New Roman"/>
        <family val="1"/>
      </rPr>
      <t xml:space="preserve"> Estrategia Distrital de Cuidado Menstrual, </t>
    </r>
    <r>
      <rPr>
        <sz val="11"/>
        <rFont val="Times New Roman"/>
        <family val="1"/>
      </rPr>
      <t xml:space="preserve">de enero a diciembre se realizaron 9 recorridos por la Dignidad Menstrual llegando a 216 mujeres habitantes de calle; 6 jornadas por la Dignidad Menstrual impactando a 183 mujeres en habitabilidad de calle o en riesgo de estarlo; 38 espacios EMAA con la participación de 555 mujeres (50 mujeres negras y Afrocolombianas, 27 mujeres Privadas de la libertad, 98 mujeres en ASP, 14 mujeres ex habitantes de calle, 10 niñas, niños y adolescentes del IDIPRON, 81 mujeres recicladoras de oficio, 17 mujeres habitantes de calle con alta dependencia, física, mental o cognitiva, 7 mujeres de la esquina del Bronx, 93 mujeres de Ciudad Bolívar, 42 mujeres campesinas y rurales y 94 niñas y adolescentes de 3 colegios en Ciudad Bolívar, 7 mujeres Embera Dovida y 15 mujeres lesbianas y bisexuales). En total se entregaron 211 kits .Se realizaron 17 espacios de fortalecimiento a 358 funcionarios de la DASCD, SDIS, IDIPRON, SD MUJER, y Alcaldía Local de Usme y se realizó la doceava Mesa Distrital de Cuidado Menstrual.  </t>
    </r>
    <r>
      <rPr>
        <b/>
        <sz val="11"/>
        <rFont val="Times New Roman"/>
        <family val="1"/>
      </rPr>
      <t xml:space="preserve"> </t>
    </r>
    <r>
      <rPr>
        <sz val="11"/>
        <rFont val="Times New Roman"/>
        <family val="1"/>
      </rPr>
      <t xml:space="preserve">  </t>
    </r>
  </si>
  <si>
    <r>
      <t>En 2022 se realizaron 12 mesas distritales, una de ellas presencial y con participación de personal directivo, las demás técnicas y operativas. Durante el mes de</t>
    </r>
    <r>
      <rPr>
        <b/>
        <sz val="11"/>
        <color rgb="FF000000"/>
        <rFont val="Times New Roman"/>
        <family val="1"/>
      </rPr>
      <t xml:space="preserve"> diciembre</t>
    </r>
    <r>
      <rPr>
        <sz val="11"/>
        <color rgb="FF000000"/>
        <rFont val="Times New Roman"/>
        <family val="1"/>
      </rPr>
      <t xml:space="preserve"> se llevó a cabo la última reunión de la Mesa Distrital de Cuidado Menstrual del año, la cual se desarrolló según la agenda prevista que incluyó la lectura y avances compromisos de las acciones correspondientes al </t>
    </r>
    <r>
      <rPr>
        <b/>
        <sz val="11"/>
        <color rgb="FF000000"/>
        <rFont val="Times New Roman"/>
        <family val="1"/>
      </rPr>
      <t>mes de diciembr</t>
    </r>
    <r>
      <rPr>
        <sz val="11"/>
        <color rgb="FF000000"/>
        <rFont val="Times New Roman"/>
        <family val="1"/>
      </rPr>
      <t xml:space="preserve">e, la planeación del 2023 y la revisión del instrumento para recolectar información de las y los servidores que han implementado la EMAA. </t>
    </r>
  </si>
  <si>
    <t>Entre marzo y septiembre se finalizó la revisión de la Caja de Herramientas dirigida a las oficinas de comunicaciones acerca de cómo las mujeres desean ser representadas. De igual manera se ha realizado el seguimiento a la estrategia con el fin de generar acciones para el cumplimiento de las metas, se realizaron 54 encuentros diferenciales con una partcipación de 714 mujeres en sus diferencias y diversidad, que permitió la construcción metodológica para la sensibilizaciones a las oficinas de atención a la ciudadanía.
En octubre se realizó la compilación de los encuentros difenciales en un solo documento donde se visibiliza cómo la mujeres desean ser atendidas, así como las particularidades, usos, costumbres, cosmovisión y cosmogonía. Se realizaron encuentros diferenciales con mujeres sordas, campesinas y rurales, jóvenes, en ASP y raizales con la participación de 87 mujeres.
Al mes de octubre se cumplió el 100% de lo proyectado en la actividad; no obstante, en noviembre se realizó el encuentro diferencial con mujeres raizales con la participación de 7 mujeres y el encuentro diferencial de mujeres con discapacidad con la participación de 17 mujeres.</t>
  </si>
  <si>
    <r>
      <t xml:space="preserve">Entre febrero y septiembre las referentas  revisaron y retroalimentaron el paso a paso para el desarrollo de las fechas conmemorativas de los grupos poblacionales con los cuales se trabaja en la Dirección de Enfoque Diferencial (DED). Se construyó y envió la metodología de los encuentros diferenciales de mujeres, se iniciaron las articulaciones pertinentes  con los grupos de mujeres con los cuales se trabaja en la DED y los sectores que se vincularían a las 16 conmemoraciones priorizadas desde la DED; de esta misma manera, se recibió la propuesta de la mujeres negras/afrocolombianas, raizales, indígenas, Rrom-gitanas, adultas y mayores, jovenes, sordas, cuidadoras, con discapacidad, palenqueras, asi como la ejecución de 7 conmemoraciones de mujeres en sus diferencias y diversidad,que permiten la visibilización y posicionamiento de agendas políticas en el Distrito.
En octubre se realizaron las conmemoraciones de mujeres Adultas, Mayores, Campesinas y Rurales, Discapacidad, Raizales y Palenqueras con la participacion de 445 mujeres.
En noviembre se realizó la commemoración de Mujeres Trans (participación de 76 mujeres), de Mujeres habitantes de calle (participación de 95 mujeres), de Mujeres gitanas (participación de 96mujeres); Cuidado menstual (participación de 44 mujeres); un total de 311 mujeres participaron de las comemoraciones 
Al mes de noviembre se cumplió el 100% de lo proyectado en la actividad; no obstante, en </t>
    </r>
    <r>
      <rPr>
        <b/>
        <sz val="11"/>
        <color rgb="FF000000"/>
        <rFont val="Times New Roman"/>
        <family val="1"/>
      </rPr>
      <t>diciembr</t>
    </r>
    <r>
      <rPr>
        <sz val="11"/>
        <color rgb="FF000000"/>
        <rFont val="Times New Roman"/>
        <family val="1"/>
      </rPr>
      <t>e se realizó la conmemoración de la mujeres migrantes con la participación de 80 mujeres.</t>
    </r>
  </si>
  <si>
    <t xml:space="preserve">Entre febrero y septiembre se revisó el manual de atención de la SDMujer con el objetivo de generar insumos que permitan la construcción de la metodología que se implementaría con los equipos de las oficinas de atención a la ciudadanía de los 15 sectores, así como la planeación frente a realización de estrategias comunicativas que permitan visibilizar a las mujeres en sus diferencias y diversidad. Se definieron las actividades para el segundo semestre, teniendo en cuenta la planeación y adjudicación de bolsa logística, así como la contratación de personas que harán parte de la estrategia. Se definió la realización de videoclips con mujeres en sus diferencias y diversidad.Se realizó reunión con comunicaciones de la SDMujer con el objetivo de definir la estrategia para esta línea, estableciéndose una estrategia de impresos donde de evidencia qué hacer para la atención de mujeres en sus diferencias y diversidad, así como realizar un Facebook live con los resultados obtenidos en el desarrollo de las actividades.Se realizaron piezas comunicativas para sensibilizar sobre el trabajo que realizan las cuidadoras y fueron compartidas en las redes de la SDMujer. Se realizó la socialización de la caja de herramientas "Mujeres Reveladas" a los equipos de comunicaciones de 13 sectores de la administración distrital, para no caer en estereotipos representaciones e imaginarios de mujeres en sus diferencias y diversidad. Se difundieron piezas gráficas de las conmemoraciones programadas para este mes de mujeres en sus diferencias y diversidad. Se realizaron dos jornadas (14 y 21) de sensibilización con equipos de atención a la ciudadanía sobre cómo las mujeres en sus diferencias desean ser atendidas.
En octubre se realizó reunión con comunicaciones para generar un espacio que visibilice los logros de la estrategias de transformación cultural. En octubre se cumplió el 100% de lo proyectado en la actividad. </t>
  </si>
  <si>
    <r>
      <t>En febrero se adelantaron acciones para fortalecer el documento de Caja de Herramientas insumo importante para la incorporación de los enfoques de derechos, de género y diferencial para las mujeres al interior del CTPD, se llevaron a cabo 3 mesas de trabajo, en la que se vienen diseñando actividades pedagógicas que puedan servir para la transversalización de los enfoques en la instancia de participación distrital.
En marzo se continuaron acciones para fortalecer el documento de Caja de Herramientas, se llevó a cabo mesa de trabajo con la consejera Sandra Mazo quién planteó en el año 2021 la creación de una caja de herramientas para ser usada al interior de la instancia, en el encuentro se dio a conocer el avance en el documento y las actividades pedagógicas propuestas hasta el momento para la transversalización de los enfoques en la instancia de participación distrital.
En abril se adelantaron acciones encaminadas a fortalecer el documento de Caja de Herramientas se llevó a cabo mesa de trabajo con la coordinadora del equipo de promoción de la participación y representación de las mujeres, donde se dio a conocer el avance en el documento y se informó del envío del mismo a la consejera Sandra Mazo, con quien se acordó recibir sus comentarios y sugerencias al texto para continuar avanzando con el proceso.
Durante mayo se mantuvo acciones para fortalecer el documento de Caja de Herramientas, se llevaron a cabo mesas de trabajo con la coordinadora del equipo de promoción de la participación y representación de las mujeres los días 10/05/2022, 24/05/2022 y el 31/05/2022, donde se dieron a conocer las actualizaciones y avances en el documento, según los comentarios y sugerencias de la consejera Sandra Mazo, para avanzar con el proceso.
Durante el mes de junio se adelantaron acciones encaminadas a fortalecer el documentos de Caja de Herramientas que será insumo importante para la incorporación de los enfoques de derechos, de género y diferencial para las mujeres al interior del CTPD, se llevaron a cabo mesas de trabajo con la coordinadora del equipo de promoción de la participación y representación de las mujeres los días 07/06/2022 y 15/06/2022, a través de las cuales, se dieron a conocer las actualizaciones y avances en el documento, así mismo se incorporaron sus comentarios y aportes, el docomento paso a revisión preliminar para continuar avanzando con el proceso.
Durante el mes de julio se adelantaron acciones encaminadas a robustecer el documentos de Lineamiento de Corresponsabilidad que será insumo importante para la incorporación de los enfoques de derechos, de género y diferencial para las mujeres al interior del CTPD, se fortalecieron los apartados de los mecanismos de coordinación y articulación, de comunicación y de fortalecimiento de capacidades, a través de la mesa de trabajo del equipo de promoción de la participación y representación de las mujeres con el profesional especializado llevada a cabo el 05/07/2022, además, actualmente el documento de Caja de Herramientad se encuentra en revisión preliminar de la coordinadora del equipo de promoción de la participación y representación de las mujeres para continuar avanzando con el proceso.
Durante el mes de agosto se adelantaron acciones encaminadas a fortalecer el documentos de Caja de Herramientas que será insumo importante para la incorporación de los enfoques de derechos, de género y diferencial para las mujeres al interior del CTPD, se llevaron a cabo mesas de trabajo junto con la coordinadora del equipo de promoción de la participación y representación de las mujeres los días 12/08/2022, 23/08/2022 y 26/08/2022, a través de las cuales, se realizaron las respectivas actualizaciones y avances en el documento, así mismo se incorporaron sus comentarios y aportes, el docomento paso a revisión preliminar para continuar avanzando con el proceso
Durante el mes de septiembre se adelantaron acciones encaminadas a fortalecer el documentos de Caja de Herramientas que será insumo importante para la incorporación de los enfoques de derechos, de género y diferencial para las mujeres al interior del CTPD, se llevaron a cabo mesas de trabajo los días 06/09/2022 y 26/09/2022 por medio de las cuales se realizaron las respectivas actualizaciones y avances en el documento, presentando la versión final a través de correo electrónico a la Subsecretaria del Cuidado y Políticas de Igualdad para su aprobación, así mismo, se realizó mesa de trabajo con la coordinadora del equipo de promoción de la participación el 13/09/2022 para presentar los ajustes solicitados al documento de Lineamitos para la transversalización de los enfoques de derechos de las mujeres, de género y diferencial, en el fortalecimiento de la participación y representación de las mujeres del CTPD.
Durante el mes de octubre se articuló con el equipo de comunicaciones para gestionar el diseño y diagramación del documentos de Caja de Herramientas que será insumo importante para la incorporación de los enfoques de derechos, de género y diferencial para las mujeres al interior del CTPD, asimismo, se realizó el envío de correo electrónico a la Subsecretaria del Cuidado y Políticas de Igualdad con el documento de Lineamientos para la transversalización de los enfoques de derechos de las mujeres, de género y diferencial, en el fortalecimiento de la participación y representación de las mujeres del CTPD para su revisión y comentarios.
Durante el mes de noviembre se realizó la revisión del documento de Caja de Herramientas posterior al proceso de diseño y diagramación del equipo de comunicaciones de la SDMujer, el cual será insumo importante para la incorporación de los enfoques de derechos, de género y diferencial para las mujeres al interior del CTPD, posterior a esto se realizó el respectivo envío de los ajustes al equipo de comunicaciones previo visto bueno de la subsecreteria. 
 Se reitero la solicitud a la Subsecretaria del Cuidado y Políticas de Igualdad la revisión y comentarios del documento de Lineamitos para la transversalización de los enfoques de derechos de las mujeres, de género y diferencial, en el fortalecimiento de la participación y representación de las mujeres del CTPD vía correo electrónico.</t>
    </r>
    <r>
      <rPr>
        <b/>
        <sz val="11"/>
        <color rgb="FF000000"/>
        <rFont val="Times New Roman"/>
        <family val="1"/>
      </rPr>
      <t xml:space="preserve">
Durante el mes de diciembre </t>
    </r>
    <r>
      <rPr>
        <sz val="11"/>
        <color rgb="FF000000"/>
        <rFont val="Times New Roman"/>
        <family val="1"/>
      </rPr>
      <t xml:space="preserve"> se realizó la revisión del documento de Caja de Herramientas, solicitando ajustes al equipo de comunicaciones de la SDMujer, este será insumo importante para la incorporación de los enfoques de derechos, de género y diferencial para las mujeres al interior del CTPD. 
La subsecretaria de políticas del Cuidado y Políticas del Igualdad aprovó los Lineamientos para la transversalización de los enfoques de derechos de las mujeres, de género y diferencial, en el fortalecimiento de la participación y representación de las mujeres del Consejo Territorial De Planeación Distrital-CTPD, el documento es enviado vía correo electrónico al equipo de comunicaciones con la solicitud de diagramación y diseño.</t>
    </r>
  </si>
  <si>
    <t>Febrero a junio de 2022 se logró
•  5 escuelas con mujeres migrantes y mujeres colombianas en el marco de la alianza con ACNUR, con un total de 144 certificadas. 
• Montaje de la escuela educación emocional en la plataforma de la SD Mujer y desarrollo de la primer escuela virtual de 2022, total de 15 mujeres certificadas. 
Julio se logró:
•Inicio y finalización de la 6 escuela con mujeres migrantes y mujeres en ASP (ACNUR) Total certificadas: 19
Agosto se logró:
•Inicio y finalización de la 7 escuela con mujeres migrantes y mujeres colombianas (ACNUR) Total certificadas: 25
Septiembre se logró:
•Inicio y finalización de la 8 escuela con mujeres migrantes y mujeres colombianas (ACNUR) Total certificadas: 21
•Inicio escuela con personas trans - OEI. Total asistentes: 15 aprox
Octubre se logró:
•Inicio y finalización de la 9 escuela con mujeres migrantes y mujeres colombianas (ACNUR) Total certificadas: 23
•Finalización escuela con personas trans (OEI) Total certificadas: 11
•Inicio y finalización escuela con mujeres jóvenes (OEI) Total certificadas: 12
•Inicio y finalización escuela con mujeres en ASP (OEI) Total certificadas: 6
•Inicio escuela mujeres ciegas (OEI) Total asistentes: 23 aprox
Noviembre se logró
•Inicio y finalización de la 10 escuela con mujeres migrantes y mujeres colombianas (ACNUR) Total certificadas: 29
•Finalización escuela mujeres con discapcidad visual (OEI) Total certificadas: 21
•Inicio y finalización escuela con mujeres privadas de la libertad (OEI) Total certificadas: 34
•Inicio y finalización escuela con adultas y mayores (OEI) Total certificadas: 14
A noviembre se cumplió el 100% la meta asociada al plan de acción; sin embargo, durante el mes diciembre se continuó con las siguientes actividades: 
• Finalización escuela de educación emocional virtual. Total certificadas: 147</t>
  </si>
  <si>
    <r>
      <t xml:space="preserve">Febrero a junio de 2022 se implementó 
• 32 espacios respiro migrantes, indígenas, campesinas y rurales, adultas y mayores, en ASP y discapacidad, impactando un total de 436 participantes. 
Julio: 
• 4 ER migrantes ACNUR. Total: 42
• 2 ER campesinas y rurales. Total: 15
•1 ER indígenas. Total: 15
•1 ER mujeres en ASP. Total: 2
• 1 ER adultas y mayores. Total: 7
• 1 ER mujeres privadas de la libertad. Total: 19
Agosto:
•1 ER migrantes. Total: 15
•1 ER mujeres privadas de la libertad. Total: 16
•1 ER mujeres con discapacidad. Total: 5
•1 ER personas trans. Total: 22
Septiembre:
•1 ER migrantes. Total: 26
•1 ER mujeres privadas de la libertad. Total: 33
•1 ER adultas y mayores. Total: 43
•1 ER Afro. Total: 20
•1 ER adultas y mayores (OEI). Total: 18
•1 ER mujeres con discapacidad y cuidadoras (OEI). Total: 17
•1 ER con raizales (OEI). Total: 20
Octubre:
•2 ER adultas y mayores (OEI). Total: 23
•2 ER con mujeres con discapacidad y cuidadoras (OEI). Total: 27
•2 ER con mujeres en ASP (OEI). Total: 17
•2 ER con Campesinas y rurales (OEI). Total: 17
•2 ER con Indígenas (OEI). Total: 31
•1 ER con Afro (OEI). Total: 31
•1 ER con lesbianas y bisexuales (OEI). Total: 10
•1 ER con mujeres privadas de la libertad (OEI). Total: 30
•3 ER con jóvenes (OEI). Total: 40
•2 ER migrantes y acogida. Total: 31
</t>
    </r>
    <r>
      <rPr>
        <sz val="11"/>
        <rFont val="Times New Roman"/>
        <family val="1"/>
      </rPr>
      <t>•1ER evento salud mental. Total: 60
Noviembre:
•3 ER migrantes y acogida. Total: 51
•1 ER con Indígenas (OEI). Total: 5
•1 ER con Gitanas (OEI). Total: 19
•1 ER con lesbianas y bisexuales (OEI). Total: 11
•2 ER con mujeres privadas de la libertad (OEI). Total: 39
•1 ER con mujeres habitantes calle (OEI). Total: 92
•3 ER con jóvenes (OEI). Total: 36
 •1 ER con campesinas (OEI). Total: 4
A noviembre se cumplió 100% la meta asociada al plan de acción; sin embargo, durante el mes de diciembre se continuó con las siguientes actividades: 
•3 ER migrantes y acogida. Total: 115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</si>
</sst>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 #,##0;\-&quot;$&quot;\ #,##0"/>
    <numFmt numFmtId="41" formatCode="_-* #,##0_-;\-* #,##0_-;_-* &quot;-&quot;_-;_-@_-"/>
    <numFmt numFmtId="43" formatCode="_-* #,##0.00_-;\-* #,##0.00_-;_-* &quot;-&quot;??_-;_-@_-"/>
    <numFmt numFmtId="164" formatCode="_-&quot;$&quot;* #,##0.00_-;\-&quot;$&quot;* #,##0.00_-;_-&quot;$&quot;* &quot;-&quot;??_-;_-@_-"/>
    <numFmt numFmtId="165" formatCode="#,##0\ &quot;€&quot;;\-#,##0\ &quot;€&quot;"/>
    <numFmt numFmtId="166" formatCode="_-* #,##0\ &quot;€&quot;_-;\-* #,##0\ &quot;€&quot;_-;_-* &quot;-&quot;\ &quot;€&quot;_-;_-@_-"/>
    <numFmt numFmtId="167" formatCode="_-* #,##0\ _€_-;\-* #,##0\ _€_-;_-* &quot;-&quot;\ _€_-;_-@_-"/>
    <numFmt numFmtId="168" formatCode="_-* #,##0.00\ &quot;€&quot;_-;\-* #,##0.00\ &quot;€&quot;_-;_-* &quot;-&quot;??\ &quot;€&quot;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0.000"/>
    <numFmt numFmtId="179" formatCode="0.00000"/>
    <numFmt numFmtId="180" formatCode="0.0000"/>
    <numFmt numFmtId="181" formatCode="#,##0.000"/>
  </numFmts>
  <fonts count="60"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1"/>
      <color theme="0" tint="-0.34998626667073579"/>
      <name val="Times New Roman"/>
      <family val="1"/>
    </font>
    <font>
      <sz val="9"/>
      <color indexed="81"/>
      <name val="Tahoma"/>
      <family val="2"/>
    </font>
    <font>
      <b/>
      <sz val="9"/>
      <color indexed="81"/>
      <name val="Tahoma"/>
      <family val="2"/>
    </font>
    <font>
      <b/>
      <sz val="8"/>
      <name val="Times New Roman"/>
      <family val="1"/>
    </font>
    <font>
      <sz val="11"/>
      <name val="Calibri"/>
      <family val="2"/>
    </font>
    <font>
      <sz val="8"/>
      <name val="Times New Roman"/>
      <family val="1"/>
    </font>
    <font>
      <sz val="8"/>
      <name val="Calibri"/>
      <family val="2"/>
    </font>
    <font>
      <sz val="7"/>
      <name val="Times New Roman"/>
      <family val="1"/>
    </font>
    <font>
      <b/>
      <sz val="8"/>
      <name val="Calibri"/>
      <family val="2"/>
    </font>
    <font>
      <sz val="7"/>
      <name val="Calibri"/>
      <family val="2"/>
    </font>
    <font>
      <b/>
      <sz val="18"/>
      <color theme="0" tint="-0.34998626667073579"/>
      <name val="Times New Roman"/>
      <family val="1"/>
    </font>
    <font>
      <b/>
      <sz val="12"/>
      <name val="Times New Roman"/>
      <family val="1"/>
    </font>
    <font>
      <b/>
      <sz val="12"/>
      <color theme="1"/>
      <name val="Times New Roman"/>
      <family val="1"/>
    </font>
    <font>
      <sz val="8"/>
      <name val="Calibri"/>
      <family val="2"/>
      <scheme val="minor"/>
    </font>
    <font>
      <b/>
      <sz val="10"/>
      <color indexed="81"/>
      <name val="Tahoma"/>
      <family val="2"/>
    </font>
    <font>
      <sz val="10"/>
      <color indexed="81"/>
      <name val="Tahoma"/>
      <family val="2"/>
    </font>
    <font>
      <b/>
      <sz val="11"/>
      <color rgb="FF0070C0"/>
      <name val="Times New Roman"/>
      <family val="1"/>
    </font>
    <font>
      <b/>
      <sz val="11"/>
      <color indexed="81"/>
      <name val="Tahoma"/>
      <family val="2"/>
    </font>
    <font>
      <sz val="11"/>
      <color indexed="81"/>
      <name val="Tahoma"/>
      <family val="2"/>
    </font>
    <font>
      <sz val="10"/>
      <color theme="1"/>
      <name val="Times New Roman"/>
      <family val="1"/>
    </font>
    <font>
      <b/>
      <sz val="10"/>
      <color theme="1"/>
      <name val="Times New Roman"/>
      <family val="1"/>
    </font>
    <font>
      <b/>
      <sz val="10"/>
      <color theme="0" tint="-0.34998626667073579"/>
      <name val="Times New Roman"/>
      <family val="1"/>
    </font>
    <font>
      <sz val="10"/>
      <color rgb="FF000000"/>
      <name val="Times New Roman"/>
      <family val="1"/>
    </font>
  </fonts>
  <fills count="35">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FF"/>
        <bgColor indexed="64"/>
      </patternFill>
    </fill>
    <fill>
      <patternFill patternType="solid">
        <fgColor rgb="FFCCC0D9"/>
        <bgColor rgb="FFCCC0D9"/>
      </patternFill>
    </fill>
    <fill>
      <patternFill patternType="solid">
        <fgColor rgb="FFFFFFCC"/>
        <bgColor rgb="FFFFFFCC"/>
      </patternFill>
    </fill>
    <fill>
      <patternFill patternType="solid">
        <fgColor rgb="FFFF6699"/>
        <bgColor indexed="64"/>
      </patternFill>
    </fill>
    <fill>
      <patternFill patternType="solid">
        <fgColor rgb="FFC6D9F0"/>
        <bgColor rgb="FFC6D9F0"/>
      </patternFill>
    </fill>
    <fill>
      <patternFill patternType="solid">
        <fgColor rgb="FFFDE9D9"/>
        <bgColor rgb="FFFDE9D9"/>
      </patternFill>
    </fill>
    <fill>
      <patternFill patternType="solid">
        <fgColor rgb="FFF79646"/>
        <bgColor rgb="FFF79646"/>
      </patternFill>
    </fill>
    <fill>
      <patternFill patternType="solid">
        <fgColor theme="7" tint="0.59999389629810485"/>
        <bgColor rgb="FFCCC0D9"/>
      </patternFill>
    </fill>
    <fill>
      <patternFill patternType="solid">
        <fgColor theme="6" tint="0.79998168889431442"/>
        <bgColor indexed="64"/>
      </patternFill>
    </fill>
    <fill>
      <patternFill patternType="solid">
        <fgColor theme="0"/>
        <bgColor rgb="FF000000"/>
      </patternFill>
    </fill>
  </fills>
  <borders count="9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style="thin">
        <color auto="1"/>
      </left>
      <right/>
      <top style="thin">
        <color auto="1"/>
      </top>
      <bottom style="medium">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diagonal/>
    </border>
    <border>
      <left/>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style="thin">
        <color auto="1"/>
      </top>
      <bottom/>
      <diagonal/>
    </border>
    <border>
      <left style="thin">
        <color auto="1"/>
      </left>
      <right style="thin">
        <color auto="1"/>
      </right>
      <top style="medium">
        <color auto="1"/>
      </top>
      <bottom/>
      <diagonal/>
    </border>
    <border>
      <left/>
      <right/>
      <top style="medium">
        <color auto="1"/>
      </top>
      <bottom style="thin">
        <color auto="1"/>
      </bottom>
      <diagonal/>
    </border>
    <border>
      <left style="thin">
        <color auto="1"/>
      </left>
      <right style="thin">
        <color auto="1"/>
      </right>
      <top/>
      <bottom/>
      <diagonal/>
    </border>
    <border>
      <left style="thin">
        <color auto="1"/>
      </left>
      <right/>
      <top/>
      <bottom/>
      <diagonal/>
    </border>
    <border>
      <left/>
      <right/>
      <top style="thin">
        <color auto="1"/>
      </top>
      <bottom style="medium">
        <color auto="1"/>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auto="1"/>
      </left>
      <right style="medium">
        <color theme="0"/>
      </right>
      <top style="medium">
        <color auto="1"/>
      </top>
      <bottom style="medium">
        <color theme="0"/>
      </bottom>
      <diagonal/>
    </border>
    <border>
      <left style="medium">
        <color theme="0"/>
      </left>
      <right/>
      <top style="medium">
        <color auto="1"/>
      </top>
      <bottom style="medium">
        <color theme="0"/>
      </bottom>
      <diagonal/>
    </border>
    <border>
      <left style="medium">
        <color theme="0"/>
      </left>
      <right/>
      <top style="medium">
        <color auto="1"/>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auto="1"/>
      </top>
      <bottom style="medium">
        <color auto="1"/>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top style="thin">
        <color rgb="FF000000"/>
      </top>
      <bottom style="medium">
        <color auto="1"/>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auto="1"/>
      </right>
      <top style="medium">
        <color auto="1"/>
      </top>
      <bottom style="medium">
        <color auto="1"/>
      </bottom>
      <diagonal/>
    </border>
    <border>
      <left style="medium">
        <color auto="1"/>
      </left>
      <right style="thin">
        <color auto="1"/>
      </right>
      <top/>
      <bottom/>
      <diagonal/>
    </border>
    <border>
      <left style="thin">
        <color auto="1"/>
      </left>
      <right/>
      <top style="medium">
        <color auto="1"/>
      </top>
      <bottom/>
      <diagonal/>
    </border>
    <border>
      <left style="thin">
        <color auto="1"/>
      </left>
      <right style="medium">
        <color auto="1"/>
      </right>
      <top style="thin">
        <color auto="1"/>
      </top>
      <bottom/>
      <diagonal/>
    </border>
    <border>
      <left style="thin">
        <color auto="1"/>
      </left>
      <right style="medium">
        <color auto="1"/>
      </right>
      <top/>
      <bottom/>
      <diagonal/>
    </border>
  </borders>
  <cellStyleXfs count="49">
    <xf numFmtId="0" fontId="0" fillId="0" borderId="0"/>
    <xf numFmtId="0" fontId="19" fillId="3" borderId="66" applyNumberFormat="0" applyAlignment="0" applyProtection="0"/>
    <xf numFmtId="49" fontId="21" fillId="0" borderId="0" applyFill="0" applyBorder="0" applyProtection="0">
      <alignment horizontal="left" vertical="center"/>
    </xf>
    <xf numFmtId="0" fontId="22" fillId="4" borderId="67" applyNumberFormat="0" applyFont="0" applyFill="0" applyAlignment="0"/>
    <xf numFmtId="0" fontId="22" fillId="4" borderId="68" applyNumberFormat="0" applyFont="0" applyFill="0" applyAlignment="0"/>
    <xf numFmtId="0" fontId="24" fillId="5" borderId="0" applyNumberFormat="0" applyProtection="0">
      <alignment horizontal="left" wrapText="1" indent="4"/>
    </xf>
    <xf numFmtId="0" fontId="25" fillId="5" borderId="0" applyNumberFormat="0" applyProtection="0">
      <alignment horizontal="left" wrapText="1" indent="4"/>
    </xf>
    <xf numFmtId="0" fontId="23" fillId="6" borderId="0" applyNumberFormat="0" applyBorder="0" applyAlignment="0" applyProtection="0"/>
    <xf numFmtId="16" fontId="26" fillId="0" borderId="0" applyFont="0" applyFill="0" applyBorder="0" applyAlignment="0">
      <alignment horizontal="left"/>
    </xf>
    <xf numFmtId="0" fontId="27" fillId="7" borderId="0" applyNumberFormat="0" applyBorder="0" applyProtection="0">
      <alignment horizontal="center" vertical="center"/>
    </xf>
    <xf numFmtId="169"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69" fontId="5" fillId="0" borderId="0" applyFont="0" applyFill="0" applyBorder="0" applyAlignment="0" applyProtection="0"/>
    <xf numFmtId="168" fontId="19" fillId="0" borderId="0" applyFont="0" applyFill="0" applyBorder="0" applyAlignment="0" applyProtection="0"/>
    <xf numFmtId="166" fontId="19" fillId="0" borderId="0" applyFont="0" applyFill="0" applyBorder="0" applyAlignment="0" applyProtection="0"/>
    <xf numFmtId="164" fontId="19" fillId="0" borderId="0" applyFont="0" applyFill="0" applyBorder="0" applyAlignment="0" applyProtection="0"/>
    <xf numFmtId="171" fontId="2" fillId="0" borderId="0" applyFont="0" applyFill="0" applyBorder="0" applyAlignment="0" applyProtection="0"/>
    <xf numFmtId="170" fontId="19"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0" fontId="28" fillId="8" borderId="0" applyNumberFormat="0" applyBorder="0" applyAlignment="0" applyProtection="0"/>
    <xf numFmtId="0" fontId="2" fillId="0" borderId="0"/>
    <xf numFmtId="0" fontId="2" fillId="0" borderId="0"/>
    <xf numFmtId="0" fontId="22" fillId="0" borderId="0"/>
    <xf numFmtId="0" fontId="6" fillId="0" borderId="0"/>
    <xf numFmtId="0" fontId="5" fillId="0" borderId="0"/>
    <xf numFmtId="0" fontId="2" fillId="0" borderId="0"/>
    <xf numFmtId="9" fontId="19"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5" fillId="0" borderId="0" applyFill="0" applyBorder="0">
      <alignment wrapText="1"/>
    </xf>
    <xf numFmtId="0" fontId="20" fillId="0" borderId="0"/>
    <xf numFmtId="0" fontId="29" fillId="5" borderId="0" applyNumberFormat="0" applyBorder="0" applyProtection="0">
      <alignment horizontal="left" indent="1"/>
    </xf>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cellStyleXfs>
  <cellXfs count="947">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19"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0" fillId="0" borderId="0" xfId="28" applyFont="1" applyBorder="1" applyAlignment="1">
      <alignment horizontal="center" vertical="center"/>
    </xf>
    <xf numFmtId="0" fontId="0" fillId="0" borderId="0" xfId="0" applyAlignment="1">
      <alignment vertical="center"/>
    </xf>
    <xf numFmtId="0" fontId="12" fillId="19" borderId="69" xfId="22" applyFont="1" applyFill="1" applyBorder="1" applyAlignment="1">
      <alignment vertical="center" wrapText="1"/>
    </xf>
    <xf numFmtId="0" fontId="12" fillId="19" borderId="70" xfId="22" applyFont="1" applyFill="1" applyBorder="1" applyAlignment="1">
      <alignment vertical="center" wrapText="1"/>
    </xf>
    <xf numFmtId="0" fontId="12" fillId="19" borderId="71"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5"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1" fillId="19" borderId="13" xfId="0" applyFont="1" applyFill="1" applyBorder="1" applyAlignment="1">
      <alignment vertical="center"/>
    </xf>
    <xf numFmtId="0" fontId="31" fillId="19" borderId="0" xfId="0" applyFont="1" applyFill="1" applyAlignment="1">
      <alignment vertical="center"/>
    </xf>
    <xf numFmtId="0" fontId="31"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2" applyFont="1" applyBorder="1" applyAlignment="1">
      <alignment horizontal="left" vertical="center" wrapText="1"/>
    </xf>
    <xf numFmtId="167" fontId="12" fillId="0" borderId="10" xfId="11" applyFont="1" applyFill="1" applyBorder="1" applyAlignment="1" applyProtection="1">
      <alignment horizontal="center" vertical="center" wrapText="1"/>
    </xf>
    <xf numFmtId="166" fontId="19" fillId="0" borderId="0" xfId="15"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32" fillId="9" borderId="19" xfId="30" applyFont="1" applyFill="1" applyBorder="1" applyAlignment="1" applyProtection="1">
      <alignment vertical="center" wrapText="1"/>
    </xf>
    <xf numFmtId="174" fontId="12" fillId="9" borderId="19" xfId="28" applyNumberFormat="1" applyFont="1" applyFill="1" applyBorder="1" applyAlignment="1" applyProtection="1">
      <alignment vertical="center" wrapText="1"/>
    </xf>
    <xf numFmtId="166" fontId="30"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0"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1" fillId="0" borderId="0" xfId="0" applyFont="1" applyAlignment="1">
      <alignment vertical="center"/>
    </xf>
    <xf numFmtId="0" fontId="31" fillId="0" borderId="1" xfId="0" applyFont="1" applyBorder="1" applyAlignment="1">
      <alignment horizontal="center" vertical="center" wrapText="1"/>
    </xf>
    <xf numFmtId="0" fontId="31" fillId="0" borderId="1" xfId="0" applyFont="1" applyBorder="1" applyAlignment="1">
      <alignment vertical="center"/>
    </xf>
    <xf numFmtId="0" fontId="34" fillId="9" borderId="1" xfId="0" applyFont="1" applyFill="1" applyBorder="1" applyAlignment="1">
      <alignment horizontal="center" vertical="center"/>
    </xf>
    <xf numFmtId="0" fontId="31" fillId="0" borderId="0" xfId="0" applyFont="1" applyAlignment="1">
      <alignment horizontal="center" vertical="center"/>
    </xf>
    <xf numFmtId="0" fontId="35" fillId="0" borderId="1" xfId="0" applyFont="1" applyBorder="1" applyAlignment="1">
      <alignment vertical="center"/>
    </xf>
    <xf numFmtId="0" fontId="34" fillId="9" borderId="1" xfId="0" applyFont="1" applyFill="1" applyBorder="1" applyAlignment="1">
      <alignment horizontal="left" vertical="center"/>
    </xf>
    <xf numFmtId="0" fontId="31" fillId="0" borderId="1" xfId="0" applyFont="1" applyBorder="1" applyAlignment="1">
      <alignment horizontal="left" vertical="center"/>
    </xf>
    <xf numFmtId="0" fontId="31" fillId="0" borderId="2" xfId="0" applyFont="1" applyBorder="1" applyAlignment="1">
      <alignment horizontal="left" vertical="center"/>
    </xf>
    <xf numFmtId="41" fontId="31" fillId="0" borderId="1" xfId="12" applyFont="1" applyFill="1" applyBorder="1" applyAlignment="1">
      <alignment vertical="center"/>
    </xf>
    <xf numFmtId="0" fontId="35" fillId="0" borderId="0" xfId="0" applyFont="1" applyAlignment="1">
      <alignment vertical="center"/>
    </xf>
    <xf numFmtId="0" fontId="33" fillId="0" borderId="0" xfId="0" applyFont="1" applyAlignment="1">
      <alignment horizontal="left" vertical="center"/>
    </xf>
    <xf numFmtId="0" fontId="33" fillId="9" borderId="1" xfId="0" applyFont="1" applyFill="1" applyBorder="1" applyAlignment="1">
      <alignment vertical="center"/>
    </xf>
    <xf numFmtId="41" fontId="31" fillId="0" borderId="2" xfId="12" applyFont="1" applyFill="1" applyBorder="1" applyAlignment="1">
      <alignment vertical="center"/>
    </xf>
    <xf numFmtId="49" fontId="31" fillId="0" borderId="2" xfId="12" applyNumberFormat="1" applyFont="1" applyFill="1" applyBorder="1" applyAlignment="1">
      <alignment vertical="center"/>
    </xf>
    <xf numFmtId="49" fontId="31" fillId="0" borderId="1" xfId="12" applyNumberFormat="1" applyFont="1" applyFill="1" applyBorder="1" applyAlignment="1">
      <alignment vertical="center"/>
    </xf>
    <xf numFmtId="0" fontId="31" fillId="0" borderId="0" xfId="0" applyFont="1" applyAlignment="1">
      <alignment horizontal="left" vertical="center"/>
    </xf>
    <xf numFmtId="0" fontId="33" fillId="21" borderId="1" xfId="0" applyFont="1" applyFill="1" applyBorder="1" applyAlignment="1">
      <alignment horizontal="center" vertical="center"/>
    </xf>
    <xf numFmtId="0" fontId="33" fillId="0" borderId="1" xfId="0" applyFont="1" applyBorder="1" applyAlignment="1">
      <alignment horizontal="center" vertical="center"/>
    </xf>
    <xf numFmtId="0" fontId="31" fillId="0" borderId="4" xfId="0" applyFont="1" applyBorder="1" applyAlignment="1">
      <alignment horizontal="left" vertical="center" wrapText="1"/>
    </xf>
    <xf numFmtId="0" fontId="31" fillId="0" borderId="1" xfId="0" applyFont="1" applyBorder="1" applyAlignment="1">
      <alignment horizontal="left" vertical="center" wrapText="1"/>
    </xf>
    <xf numFmtId="0" fontId="33" fillId="0" borderId="1" xfId="0" applyFont="1" applyBorder="1" applyAlignment="1">
      <alignment horizontal="center" vertical="center" wrapText="1"/>
    </xf>
    <xf numFmtId="0" fontId="31" fillId="0" borderId="1" xfId="0" applyFont="1" applyBorder="1" applyAlignment="1">
      <alignment vertical="center" wrapText="1"/>
    </xf>
    <xf numFmtId="0" fontId="33" fillId="0" borderId="1" xfId="0" applyFont="1" applyBorder="1" applyAlignment="1">
      <alignment vertical="center" wrapText="1"/>
    </xf>
    <xf numFmtId="0" fontId="11" fillId="19" borderId="1" xfId="0" applyFont="1" applyFill="1" applyBorder="1" applyAlignment="1">
      <alignment horizontal="left" vertical="center" wrapText="1"/>
    </xf>
    <xf numFmtId="0" fontId="33" fillId="0" borderId="10" xfId="0" applyFont="1" applyBorder="1" applyAlignment="1">
      <alignment horizontal="left" vertical="center" wrapText="1"/>
    </xf>
    <xf numFmtId="0" fontId="31"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7" fillId="0" borderId="1" xfId="0" applyFont="1" applyBorder="1" applyAlignment="1">
      <alignment horizontal="center"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22" borderId="1" xfId="0" applyFont="1" applyFill="1" applyBorder="1" applyAlignment="1">
      <alignment horizontal="left" vertical="center"/>
    </xf>
    <xf numFmtId="177" fontId="13" fillId="22" borderId="1" xfId="15" applyNumberFormat="1" applyFont="1" applyFill="1" applyBorder="1" applyAlignment="1">
      <alignment horizontal="center" vertical="center"/>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30"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12" fillId="0" borderId="13" xfId="22" applyFont="1" applyBorder="1" applyAlignment="1">
      <alignment vertical="center" wrapText="1"/>
    </xf>
    <xf numFmtId="0" fontId="12" fillId="0" borderId="0" xfId="22" applyFont="1" applyAlignment="1">
      <alignment vertical="center" wrapText="1"/>
    </xf>
    <xf numFmtId="0" fontId="14" fillId="0" borderId="0" xfId="22" applyFont="1" applyAlignment="1">
      <alignment vertical="center" wrapText="1"/>
    </xf>
    <xf numFmtId="0" fontId="11" fillId="0" borderId="0" xfId="22" applyFont="1" applyAlignment="1">
      <alignment vertical="center" wrapText="1"/>
    </xf>
    <xf numFmtId="0" fontId="11" fillId="0" borderId="14" xfId="22" applyFont="1" applyBorder="1" applyAlignment="1">
      <alignment vertical="center" wrapText="1"/>
    </xf>
    <xf numFmtId="0" fontId="17" fillId="0" borderId="1" xfId="0" applyFont="1" applyBorder="1" applyAlignment="1">
      <alignment horizontal="center" vertical="center" wrapText="1"/>
    </xf>
    <xf numFmtId="9" fontId="11" fillId="25" borderId="1" xfId="28" applyFont="1" applyFill="1" applyBorder="1" applyAlignment="1" applyProtection="1">
      <alignment horizontal="center" vertical="center" wrapText="1"/>
      <protection locked="0"/>
    </xf>
    <xf numFmtId="9" fontId="11" fillId="25" borderId="2" xfId="28" applyFont="1" applyFill="1" applyBorder="1" applyAlignment="1" applyProtection="1">
      <alignment horizontal="center" vertical="center" wrapText="1"/>
      <protection locked="0"/>
    </xf>
    <xf numFmtId="0" fontId="3" fillId="0" borderId="76" xfId="0" applyFont="1" applyBorder="1" applyAlignment="1">
      <alignment horizontal="left" vertical="center" wrapText="1"/>
    </xf>
    <xf numFmtId="9" fontId="4" fillId="0" borderId="77" xfId="0" applyNumberFormat="1" applyFont="1" applyBorder="1" applyAlignment="1">
      <alignment horizontal="center" vertical="center" wrapText="1"/>
    </xf>
    <xf numFmtId="9" fontId="3" fillId="0" borderId="78" xfId="0" applyNumberFormat="1" applyFont="1" applyBorder="1" applyAlignment="1">
      <alignment horizontal="center" vertical="center" wrapText="1"/>
    </xf>
    <xf numFmtId="0" fontId="3" fillId="26" borderId="79" xfId="0" applyFont="1" applyFill="1" applyBorder="1" applyAlignment="1">
      <alignment horizontal="left" vertical="center" wrapText="1"/>
    </xf>
    <xf numFmtId="9" fontId="4" fillId="26" borderId="80" xfId="0" applyNumberFormat="1" applyFont="1" applyFill="1" applyBorder="1" applyAlignment="1">
      <alignment horizontal="center" vertical="center" wrapText="1"/>
    </xf>
    <xf numFmtId="9" fontId="3" fillId="0" borderId="81" xfId="0" applyNumberFormat="1" applyFont="1" applyBorder="1" applyAlignment="1">
      <alignment horizontal="center" vertical="center" wrapText="1"/>
    </xf>
    <xf numFmtId="0" fontId="3" fillId="0" borderId="1" xfId="0" applyFont="1" applyBorder="1" applyAlignment="1">
      <alignment horizontal="left" vertical="center" wrapText="1"/>
    </xf>
    <xf numFmtId="9" fontId="4" fillId="0" borderId="76" xfId="0" applyNumberFormat="1" applyFont="1" applyBorder="1" applyAlignment="1">
      <alignment horizontal="center" vertical="center" wrapText="1"/>
    </xf>
    <xf numFmtId="0" fontId="3" fillId="26" borderId="19" xfId="0" applyFont="1" applyFill="1" applyBorder="1" applyAlignment="1">
      <alignment horizontal="left" vertical="center" wrapText="1"/>
    </xf>
    <xf numFmtId="9" fontId="4" fillId="26" borderId="19" xfId="0" applyNumberFormat="1" applyFont="1" applyFill="1" applyBorder="1" applyAlignment="1">
      <alignment horizontal="center" vertical="center" wrapText="1"/>
    </xf>
    <xf numFmtId="9" fontId="4" fillId="26" borderId="82" xfId="0" applyNumberFormat="1" applyFont="1" applyFill="1" applyBorder="1" applyAlignment="1">
      <alignment horizontal="center" vertical="center" wrapText="1"/>
    </xf>
    <xf numFmtId="9" fontId="4" fillId="26" borderId="83" xfId="0" applyNumberFormat="1" applyFont="1" applyFill="1" applyBorder="1" applyAlignment="1">
      <alignment horizontal="center" vertical="center" wrapText="1"/>
    </xf>
    <xf numFmtId="9" fontId="3" fillId="0" borderId="84" xfId="0" applyNumberFormat="1" applyFont="1" applyBorder="1" applyAlignment="1">
      <alignment horizontal="center" vertical="center" wrapText="1"/>
    </xf>
    <xf numFmtId="0" fontId="12" fillId="20" borderId="10" xfId="22" applyFont="1" applyFill="1" applyBorder="1" applyAlignment="1">
      <alignment horizontal="center" vertical="center" wrapText="1"/>
    </xf>
    <xf numFmtId="0" fontId="12" fillId="0" borderId="44" xfId="22" applyFont="1" applyBorder="1" applyAlignment="1">
      <alignment horizontal="left" vertical="center" wrapText="1"/>
    </xf>
    <xf numFmtId="9" fontId="12" fillId="0" borderId="53" xfId="22" applyNumberFormat="1" applyFont="1" applyBorder="1" applyAlignment="1">
      <alignment horizontal="center" vertical="center" wrapText="1"/>
    </xf>
    <xf numFmtId="43" fontId="0" fillId="0" borderId="0" xfId="0" applyNumberFormat="1"/>
    <xf numFmtId="169" fontId="0" fillId="0" borderId="0" xfId="10" applyFont="1"/>
    <xf numFmtId="169" fontId="30" fillId="0" borderId="0" xfId="0" applyNumberFormat="1" applyFont="1"/>
    <xf numFmtId="169" fontId="0" fillId="0" borderId="0" xfId="0" applyNumberFormat="1"/>
    <xf numFmtId="9" fontId="0" fillId="0" borderId="0" xfId="28" applyFont="1"/>
    <xf numFmtId="0" fontId="12" fillId="20" borderId="52"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20" borderId="9" xfId="22" applyFont="1" applyFill="1" applyBorder="1" applyAlignment="1">
      <alignment horizontal="center" vertical="center" wrapText="1"/>
    </xf>
    <xf numFmtId="0" fontId="12" fillId="20" borderId="31" xfId="22" applyFont="1" applyFill="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12" fillId="0" borderId="11" xfId="22" applyFont="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0" fontId="12" fillId="0" borderId="12" xfId="22" applyFont="1" applyBorder="1" applyAlignment="1">
      <alignment horizontal="center" vertical="center" wrapText="1"/>
    </xf>
    <xf numFmtId="0" fontId="40" fillId="27" borderId="80" xfId="0" applyFont="1" applyFill="1" applyBorder="1" applyAlignment="1">
      <alignment horizontal="center" vertical="center" wrapText="1"/>
    </xf>
    <xf numFmtId="0" fontId="40" fillId="0" borderId="80" xfId="0" applyFont="1" applyBorder="1" applyAlignment="1">
      <alignment horizontal="center" vertical="center" wrapText="1"/>
    </xf>
    <xf numFmtId="9" fontId="43" fillId="0" borderId="0" xfId="0" applyNumberFormat="1" applyFont="1" applyAlignment="1">
      <alignment horizontal="center" vertical="center"/>
    </xf>
    <xf numFmtId="178" fontId="45" fillId="28" borderId="0" xfId="0" applyNumberFormat="1" applyFont="1" applyFill="1" applyAlignment="1">
      <alignment horizontal="center" vertical="center"/>
    </xf>
    <xf numFmtId="178" fontId="43" fillId="0" borderId="0" xfId="0" applyNumberFormat="1" applyFont="1" applyAlignment="1">
      <alignment horizontal="center" vertical="center"/>
    </xf>
    <xf numFmtId="0" fontId="43" fillId="0" borderId="0" xfId="0" applyFont="1" applyAlignment="1">
      <alignment horizontal="center" vertical="center"/>
    </xf>
    <xf numFmtId="0" fontId="40" fillId="29" borderId="80" xfId="0" applyFont="1" applyFill="1" applyBorder="1" applyAlignment="1">
      <alignment horizontal="center" vertical="center" wrapText="1"/>
    </xf>
    <xf numFmtId="178" fontId="43" fillId="29" borderId="0" xfId="0" applyNumberFormat="1" applyFont="1" applyFill="1" applyAlignment="1">
      <alignment horizontal="center" vertical="center"/>
    </xf>
    <xf numFmtId="178" fontId="45" fillId="29" borderId="0" xfId="0" applyNumberFormat="1" applyFont="1" applyFill="1" applyAlignment="1">
      <alignment horizontal="center" vertical="center"/>
    </xf>
    <xf numFmtId="178" fontId="0" fillId="0" borderId="0" xfId="0" applyNumberFormat="1" applyAlignment="1">
      <alignment vertical="center"/>
    </xf>
    <xf numFmtId="0" fontId="43" fillId="30" borderId="0" xfId="0" applyFont="1" applyFill="1" applyAlignment="1">
      <alignment horizontal="center" vertical="center"/>
    </xf>
    <xf numFmtId="179" fontId="45" fillId="30" borderId="0" xfId="0" applyNumberFormat="1" applyFont="1" applyFill="1" applyAlignment="1">
      <alignment horizontal="center" vertical="center"/>
    </xf>
    <xf numFmtId="180" fontId="43" fillId="31" borderId="0" xfId="0" applyNumberFormat="1" applyFont="1" applyFill="1" applyAlignment="1">
      <alignment horizontal="center" vertical="center"/>
    </xf>
    <xf numFmtId="178" fontId="43" fillId="31" borderId="0" xfId="0" applyNumberFormat="1" applyFont="1" applyFill="1" applyAlignment="1">
      <alignment horizontal="center" vertical="center"/>
    </xf>
    <xf numFmtId="0" fontId="4" fillId="0" borderId="0" xfId="0" applyFont="1" applyAlignment="1">
      <alignment vertical="center"/>
    </xf>
    <xf numFmtId="0" fontId="42" fillId="0" borderId="0" xfId="0" applyFont="1" applyAlignment="1">
      <alignment vertical="center"/>
    </xf>
    <xf numFmtId="4" fontId="12" fillId="0" borderId="10" xfId="22" applyNumberFormat="1" applyFont="1" applyBorder="1" applyAlignment="1">
      <alignment horizontal="center" vertical="center" wrapText="1"/>
    </xf>
    <xf numFmtId="4" fontId="12" fillId="0" borderId="10" xfId="28" applyNumberFormat="1" applyFont="1" applyFill="1" applyBorder="1" applyAlignment="1" applyProtection="1">
      <alignment horizontal="center" vertical="center" wrapText="1"/>
    </xf>
    <xf numFmtId="4" fontId="12" fillId="9" borderId="19" xfId="28" applyNumberFormat="1" applyFont="1" applyFill="1" applyBorder="1" applyAlignment="1" applyProtection="1">
      <alignment horizontal="center" vertical="center" wrapText="1"/>
    </xf>
    <xf numFmtId="0" fontId="40" fillId="31" borderId="0" xfId="0" applyFont="1" applyFill="1" applyAlignment="1">
      <alignment vertical="center"/>
    </xf>
    <xf numFmtId="4" fontId="11" fillId="9" borderId="19" xfId="30" applyNumberFormat="1" applyFont="1" applyFill="1" applyBorder="1" applyAlignment="1" applyProtection="1">
      <alignment horizontal="center" vertical="center" wrapText="1"/>
    </xf>
    <xf numFmtId="0" fontId="11" fillId="0" borderId="18" xfId="22" applyFont="1" applyBorder="1" applyAlignment="1">
      <alignment horizontal="justify" vertical="center" wrapText="1"/>
    </xf>
    <xf numFmtId="0" fontId="37" fillId="0" borderId="0" xfId="0" applyFont="1" applyAlignment="1">
      <alignment horizontal="center" vertical="center"/>
    </xf>
    <xf numFmtId="0" fontId="33" fillId="0" borderId="0" xfId="0" applyFont="1" applyAlignment="1">
      <alignment horizontal="center" vertical="center" wrapText="1"/>
    </xf>
    <xf numFmtId="0" fontId="12" fillId="2" borderId="0" xfId="22" applyFont="1" applyFill="1" applyAlignment="1">
      <alignment vertical="center" wrapText="1"/>
    </xf>
    <xf numFmtId="176" fontId="31" fillId="0" borderId="0" xfId="0" applyNumberFormat="1" applyFont="1" applyAlignment="1">
      <alignment vertical="center"/>
    </xf>
    <xf numFmtId="176" fontId="31" fillId="0" borderId="0" xfId="14" applyNumberFormat="1" applyFont="1" applyBorder="1" applyAlignment="1">
      <alignment vertical="center"/>
    </xf>
    <xf numFmtId="173" fontId="31" fillId="0" borderId="0" xfId="0" applyNumberFormat="1" applyFont="1" applyAlignment="1">
      <alignment vertical="center"/>
    </xf>
    <xf numFmtId="166" fontId="31" fillId="0" borderId="0" xfId="15" applyFont="1" applyAlignment="1">
      <alignment vertical="center"/>
    </xf>
    <xf numFmtId="9" fontId="33" fillId="0" borderId="0" xfId="28" applyFont="1" applyBorder="1" applyAlignment="1">
      <alignment horizontal="center" vertical="center"/>
    </xf>
    <xf numFmtId="166" fontId="33" fillId="0" borderId="0" xfId="15" applyFont="1" applyAlignment="1">
      <alignment vertical="center"/>
    </xf>
    <xf numFmtId="0" fontId="33" fillId="0" borderId="0" xfId="0" applyFont="1" applyAlignment="1">
      <alignment vertical="center"/>
    </xf>
    <xf numFmtId="9" fontId="42" fillId="0" borderId="0" xfId="0" applyNumberFormat="1" applyFont="1" applyAlignment="1">
      <alignment horizontal="center" vertical="center"/>
    </xf>
    <xf numFmtId="178" fontId="40" fillId="28" borderId="0" xfId="0" applyNumberFormat="1" applyFont="1" applyFill="1" applyAlignment="1">
      <alignment horizontal="center" vertical="center"/>
    </xf>
    <xf numFmtId="178" fontId="42" fillId="0" borderId="0" xfId="0" applyNumberFormat="1" applyFont="1" applyAlignment="1">
      <alignment horizontal="center" vertical="center"/>
    </xf>
    <xf numFmtId="0" fontId="42" fillId="0" borderId="0" xfId="0" applyFont="1" applyAlignment="1">
      <alignment horizontal="center" vertical="center"/>
    </xf>
    <xf numFmtId="178" fontId="42" fillId="29" borderId="0" xfId="0" applyNumberFormat="1" applyFont="1" applyFill="1" applyAlignment="1">
      <alignment horizontal="center" vertical="center"/>
    </xf>
    <xf numFmtId="178" fontId="40" fillId="29" borderId="0" xfId="0" applyNumberFormat="1" applyFont="1" applyFill="1" applyAlignment="1">
      <alignment horizontal="center" vertical="center"/>
    </xf>
    <xf numFmtId="178" fontId="31" fillId="0" borderId="0" xfId="0" applyNumberFormat="1" applyFont="1" applyAlignment="1">
      <alignment vertical="center"/>
    </xf>
    <xf numFmtId="0" fontId="42" fillId="30" borderId="0" xfId="0" applyFont="1" applyFill="1" applyAlignment="1">
      <alignment horizontal="center" vertical="center"/>
    </xf>
    <xf numFmtId="179" fontId="40" fillId="30" borderId="0" xfId="0" applyNumberFormat="1" applyFont="1" applyFill="1" applyAlignment="1">
      <alignment horizontal="center" vertical="center"/>
    </xf>
    <xf numFmtId="180" fontId="42" fillId="31" borderId="0" xfId="0" applyNumberFormat="1" applyFont="1" applyFill="1" applyAlignment="1">
      <alignment horizontal="center" vertical="center"/>
    </xf>
    <xf numFmtId="178" fontId="42" fillId="31" borderId="0" xfId="0" applyNumberFormat="1" applyFont="1" applyFill="1" applyAlignment="1">
      <alignment horizontal="center" vertical="center"/>
    </xf>
    <xf numFmtId="3" fontId="31" fillId="0" borderId="1" xfId="0" applyNumberFormat="1" applyFont="1" applyBorder="1" applyAlignment="1">
      <alignment horizontal="center" vertical="center"/>
    </xf>
    <xf numFmtId="3" fontId="31" fillId="0" borderId="0" xfId="0" applyNumberFormat="1" applyFont="1" applyAlignment="1">
      <alignment horizontal="center" vertical="center"/>
    </xf>
    <xf numFmtId="9" fontId="31" fillId="0" borderId="34" xfId="28" applyFont="1" applyFill="1" applyBorder="1" applyAlignment="1">
      <alignment vertical="center"/>
    </xf>
    <xf numFmtId="0" fontId="12" fillId="20" borderId="87" xfId="22" applyFont="1" applyFill="1" applyBorder="1" applyAlignment="1">
      <alignment horizontal="center" vertical="center" wrapText="1"/>
    </xf>
    <xf numFmtId="173" fontId="31" fillId="0" borderId="9" xfId="10" applyNumberFormat="1" applyFont="1" applyFill="1" applyBorder="1" applyAlignment="1">
      <alignment vertical="center"/>
    </xf>
    <xf numFmtId="5" fontId="31" fillId="0" borderId="25" xfId="10" applyNumberFormat="1" applyFont="1" applyFill="1" applyBorder="1" applyAlignment="1">
      <alignment horizontal="right" vertical="center"/>
    </xf>
    <xf numFmtId="5" fontId="31" fillId="0" borderId="4" xfId="10" applyNumberFormat="1" applyFont="1" applyFill="1" applyBorder="1" applyAlignment="1">
      <alignment horizontal="right" vertical="center"/>
    </xf>
    <xf numFmtId="5" fontId="31" fillId="0" borderId="5" xfId="10" applyNumberFormat="1" applyFont="1" applyFill="1" applyBorder="1" applyAlignment="1">
      <alignment horizontal="right" vertical="center"/>
    </xf>
    <xf numFmtId="5" fontId="31" fillId="0" borderId="1" xfId="10" applyNumberFormat="1" applyFont="1" applyFill="1" applyBorder="1" applyAlignment="1">
      <alignment horizontal="right" vertical="center"/>
    </xf>
    <xf numFmtId="5" fontId="31" fillId="0" borderId="3" xfId="10" applyNumberFormat="1" applyFont="1" applyFill="1" applyBorder="1" applyAlignment="1">
      <alignment horizontal="right" vertical="center"/>
    </xf>
    <xf numFmtId="5" fontId="31" fillId="0" borderId="46" xfId="10" applyNumberFormat="1" applyFont="1" applyBorder="1" applyAlignment="1">
      <alignment horizontal="right" vertical="center"/>
    </xf>
    <xf numFmtId="5" fontId="31" fillId="0" borderId="19" xfId="10" applyNumberFormat="1" applyFont="1" applyBorder="1" applyAlignment="1">
      <alignment horizontal="right" vertical="center"/>
    </xf>
    <xf numFmtId="5" fontId="31" fillId="0" borderId="8" xfId="10" applyNumberFormat="1" applyFont="1" applyFill="1" applyBorder="1" applyAlignment="1">
      <alignment horizontal="right" vertical="center"/>
    </xf>
    <xf numFmtId="0" fontId="11" fillId="19" borderId="39" xfId="22" applyFont="1" applyFill="1" applyBorder="1" applyAlignment="1">
      <alignment vertical="center" wrapText="1"/>
    </xf>
    <xf numFmtId="0" fontId="12" fillId="19" borderId="14" xfId="22" applyFont="1" applyFill="1" applyBorder="1" applyAlignment="1">
      <alignment vertical="center" wrapText="1"/>
    </xf>
    <xf numFmtId="0" fontId="12" fillId="20" borderId="45" xfId="22" applyFont="1" applyFill="1" applyBorder="1" applyAlignment="1">
      <alignment horizontal="center" vertical="center" wrapText="1"/>
    </xf>
    <xf numFmtId="0" fontId="12" fillId="20" borderId="33" xfId="22" applyFont="1" applyFill="1" applyBorder="1" applyAlignment="1">
      <alignment horizontal="center" vertical="center" wrapText="1"/>
    </xf>
    <xf numFmtId="0" fontId="11" fillId="0" borderId="0" xfId="0" applyFont="1" applyAlignment="1">
      <alignment vertical="center"/>
    </xf>
    <xf numFmtId="0" fontId="43" fillId="0" borderId="0" xfId="0" applyFont="1" applyAlignment="1">
      <alignment vertical="center"/>
    </xf>
    <xf numFmtId="0" fontId="41" fillId="0" borderId="0" xfId="0" applyFont="1" applyAlignment="1">
      <alignment vertical="center"/>
    </xf>
    <xf numFmtId="5" fontId="31" fillId="0" borderId="32" xfId="10" applyNumberFormat="1" applyFont="1" applyFill="1" applyBorder="1" applyAlignment="1">
      <alignment horizontal="right" vertical="center"/>
    </xf>
    <xf numFmtId="5" fontId="31" fillId="0" borderId="56" xfId="10" applyNumberFormat="1" applyFont="1" applyFill="1" applyBorder="1" applyAlignment="1">
      <alignment horizontal="right" vertical="center"/>
    </xf>
    <xf numFmtId="5" fontId="31" fillId="0" borderId="57" xfId="10" applyNumberFormat="1" applyFont="1" applyFill="1" applyBorder="1" applyAlignment="1">
      <alignment horizontal="right" vertical="center"/>
    </xf>
    <xf numFmtId="5" fontId="31" fillId="0" borderId="6" xfId="10" applyNumberFormat="1" applyFont="1" applyFill="1" applyBorder="1" applyAlignment="1">
      <alignment horizontal="right" vertical="center"/>
    </xf>
    <xf numFmtId="5" fontId="31" fillId="0" borderId="31" xfId="10" applyNumberFormat="1" applyFont="1" applyFill="1" applyBorder="1" applyAlignment="1">
      <alignment horizontal="right" vertical="center"/>
    </xf>
    <xf numFmtId="5" fontId="31" fillId="0" borderId="19" xfId="10" applyNumberFormat="1" applyFont="1" applyFill="1" applyBorder="1" applyAlignment="1">
      <alignment horizontal="right" vertical="center"/>
    </xf>
    <xf numFmtId="0" fontId="12" fillId="9" borderId="10" xfId="22" applyFont="1" applyFill="1" applyBorder="1" applyAlignment="1">
      <alignment horizontal="left" vertical="center" wrapText="1"/>
    </xf>
    <xf numFmtId="4" fontId="11" fillId="9" borderId="10" xfId="30" applyNumberFormat="1" applyFont="1" applyFill="1" applyBorder="1" applyAlignment="1" applyProtection="1">
      <alignment horizontal="center" vertical="center" wrapText="1"/>
    </xf>
    <xf numFmtId="4" fontId="12" fillId="9" borderId="10" xfId="28" applyNumberFormat="1" applyFont="1" applyFill="1" applyBorder="1" applyAlignment="1" applyProtection="1">
      <alignment horizontal="center" vertical="center" wrapText="1"/>
    </xf>
    <xf numFmtId="9" fontId="12" fillId="0" borderId="1" xfId="22" applyNumberFormat="1" applyFont="1" applyBorder="1" applyAlignment="1">
      <alignment horizontal="center" vertical="center" wrapText="1"/>
    </xf>
    <xf numFmtId="9" fontId="12" fillId="0" borderId="19" xfId="22" applyNumberFormat="1" applyFont="1" applyBorder="1" applyAlignment="1">
      <alignment horizontal="center" vertical="center" wrapText="1"/>
    </xf>
    <xf numFmtId="2" fontId="12" fillId="0" borderId="10" xfId="22" applyNumberFormat="1" applyFont="1" applyBorder="1" applyAlignment="1">
      <alignment horizontal="center" vertical="center" wrapText="1"/>
    </xf>
    <xf numFmtId="0" fontId="17" fillId="0" borderId="1" xfId="0" applyFont="1" applyBorder="1" applyAlignment="1">
      <alignment vertical="center" wrapText="1"/>
    </xf>
    <xf numFmtId="181" fontId="11" fillId="9" borderId="19" xfId="30" applyNumberFormat="1" applyFont="1" applyFill="1" applyBorder="1" applyAlignment="1" applyProtection="1">
      <alignment horizontal="center" vertical="center" wrapText="1"/>
    </xf>
    <xf numFmtId="177" fontId="13" fillId="0" borderId="1" xfId="15" applyNumberFormat="1" applyFont="1" applyFill="1" applyBorder="1" applyAlignment="1">
      <alignment horizontal="center" vertical="center"/>
    </xf>
    <xf numFmtId="5" fontId="12" fillId="19" borderId="0" xfId="22" applyNumberFormat="1" applyFont="1" applyFill="1" applyAlignment="1">
      <alignment horizontal="left" vertical="center" wrapText="1"/>
    </xf>
    <xf numFmtId="3" fontId="17" fillId="0" borderId="1" xfId="0" applyNumberFormat="1" applyFont="1" applyBorder="1" applyAlignment="1">
      <alignment horizontal="center" vertical="center"/>
    </xf>
    <xf numFmtId="5" fontId="12" fillId="0" borderId="10" xfId="22" applyNumberFormat="1" applyFont="1" applyBorder="1" applyAlignment="1">
      <alignment horizontal="center" vertical="center" wrapText="1"/>
    </xf>
    <xf numFmtId="5" fontId="31" fillId="19" borderId="1" xfId="10" applyNumberFormat="1" applyFont="1" applyFill="1" applyBorder="1" applyAlignment="1">
      <alignment horizontal="right" vertical="center"/>
    </xf>
    <xf numFmtId="5" fontId="31" fillId="19" borderId="4" xfId="10" applyNumberFormat="1" applyFont="1" applyFill="1" applyBorder="1" applyAlignment="1">
      <alignment horizontal="right" vertical="center"/>
    </xf>
    <xf numFmtId="9" fontId="12" fillId="9" borderId="1" xfId="22" applyNumberFormat="1" applyFont="1" applyFill="1" applyBorder="1" applyAlignment="1">
      <alignment horizontal="left" vertical="center" wrapText="1"/>
    </xf>
    <xf numFmtId="9" fontId="12" fillId="0" borderId="1" xfId="22" applyNumberFormat="1" applyFont="1" applyBorder="1" applyAlignment="1">
      <alignment horizontal="left" vertical="center" wrapText="1"/>
    </xf>
    <xf numFmtId="9" fontId="12" fillId="0" borderId="61" xfId="22" applyNumberFormat="1" applyFont="1" applyBorder="1" applyAlignment="1">
      <alignment horizontal="center" vertical="center" wrapText="1"/>
    </xf>
    <xf numFmtId="5" fontId="31" fillId="19" borderId="57" xfId="10" applyNumberFormat="1" applyFont="1" applyFill="1" applyBorder="1" applyAlignment="1">
      <alignment horizontal="right" vertical="center"/>
    </xf>
    <xf numFmtId="173" fontId="31" fillId="19" borderId="9" xfId="10" applyNumberFormat="1" applyFont="1" applyFill="1" applyBorder="1" applyAlignment="1">
      <alignment vertical="center"/>
    </xf>
    <xf numFmtId="5" fontId="31" fillId="19" borderId="32" xfId="10" applyNumberFormat="1" applyFont="1" applyFill="1" applyBorder="1" applyAlignment="1">
      <alignment horizontal="right" vertical="center"/>
    </xf>
    <xf numFmtId="5" fontId="31" fillId="19" borderId="56" xfId="10" applyNumberFormat="1" applyFont="1" applyFill="1" applyBorder="1" applyAlignment="1">
      <alignment horizontal="right" vertical="center"/>
    </xf>
    <xf numFmtId="5" fontId="31" fillId="19" borderId="19" xfId="10" applyNumberFormat="1" applyFont="1" applyFill="1" applyBorder="1" applyAlignment="1">
      <alignment horizontal="right" vertical="center"/>
    </xf>
    <xf numFmtId="5" fontId="31" fillId="19" borderId="46" xfId="10" applyNumberFormat="1" applyFont="1" applyFill="1" applyBorder="1" applyAlignment="1">
      <alignment horizontal="right" vertical="center"/>
    </xf>
    <xf numFmtId="9" fontId="31" fillId="19" borderId="33" xfId="28" applyFont="1" applyFill="1" applyBorder="1" applyAlignment="1">
      <alignment vertical="center"/>
    </xf>
    <xf numFmtId="9" fontId="31" fillId="19" borderId="9" xfId="28" applyFont="1" applyFill="1" applyBorder="1" applyAlignment="1">
      <alignment vertical="center"/>
    </xf>
    <xf numFmtId="9" fontId="31" fillId="19" borderId="34" xfId="28" applyFont="1" applyFill="1" applyBorder="1" applyAlignment="1">
      <alignment vertical="center"/>
    </xf>
    <xf numFmtId="176" fontId="31" fillId="19" borderId="0" xfId="14" applyNumberFormat="1" applyFont="1" applyFill="1" applyBorder="1" applyAlignment="1">
      <alignment vertical="center"/>
    </xf>
    <xf numFmtId="174" fontId="31" fillId="19" borderId="9" xfId="28" applyNumberFormat="1" applyFont="1" applyFill="1" applyBorder="1" applyAlignment="1">
      <alignment vertical="center"/>
    </xf>
    <xf numFmtId="174" fontId="31" fillId="19" borderId="33" xfId="28" applyNumberFormat="1" applyFont="1" applyFill="1" applyBorder="1" applyAlignment="1">
      <alignment vertical="center"/>
    </xf>
    <xf numFmtId="9" fontId="11" fillId="19" borderId="1" xfId="29" applyFont="1" applyFill="1" applyBorder="1" applyAlignment="1" applyProtection="1">
      <alignment horizontal="center" vertical="center" wrapText="1"/>
      <protection locked="0"/>
    </xf>
    <xf numFmtId="3" fontId="31" fillId="0" borderId="0" xfId="0" applyNumberFormat="1" applyFont="1" applyAlignment="1">
      <alignment vertical="center"/>
    </xf>
    <xf numFmtId="4" fontId="12" fillId="19" borderId="19" xfId="28" applyNumberFormat="1" applyFont="1" applyFill="1" applyBorder="1" applyAlignment="1" applyProtection="1">
      <alignment horizontal="center" vertical="center" wrapText="1"/>
    </xf>
    <xf numFmtId="9" fontId="53" fillId="0" borderId="1" xfId="29" applyFont="1" applyFill="1" applyBorder="1" applyAlignment="1" applyProtection="1">
      <alignment horizontal="center" vertical="center" wrapText="1"/>
      <protection locked="0"/>
    </xf>
    <xf numFmtId="9" fontId="4" fillId="32" borderId="80" xfId="0" applyNumberFormat="1" applyFont="1" applyFill="1" applyBorder="1" applyAlignment="1">
      <alignment horizontal="center" vertical="center" wrapText="1"/>
    </xf>
    <xf numFmtId="9" fontId="4" fillId="32" borderId="83" xfId="0" applyNumberFormat="1" applyFont="1" applyFill="1" applyBorder="1" applyAlignment="1">
      <alignment horizontal="center" vertical="center" wrapText="1"/>
    </xf>
    <xf numFmtId="9" fontId="11" fillId="19" borderId="4" xfId="29" applyFont="1" applyFill="1" applyBorder="1" applyAlignment="1" applyProtection="1">
      <alignment horizontal="center" vertical="center" wrapText="1"/>
      <protection locked="0"/>
    </xf>
    <xf numFmtId="9" fontId="12" fillId="19" borderId="1" xfId="22" applyNumberFormat="1" applyFont="1" applyFill="1" applyBorder="1" applyAlignment="1">
      <alignment horizontal="center" vertical="center" wrapText="1"/>
    </xf>
    <xf numFmtId="5" fontId="31" fillId="19" borderId="5" xfId="10" applyNumberFormat="1" applyFont="1" applyFill="1" applyBorder="1" applyAlignment="1">
      <alignment horizontal="right" vertical="center"/>
    </xf>
    <xf numFmtId="0" fontId="56" fillId="19" borderId="1" xfId="0" applyFont="1" applyFill="1" applyBorder="1" applyAlignment="1">
      <alignment horizontal="justify" vertical="center" wrapText="1"/>
    </xf>
    <xf numFmtId="0" fontId="56" fillId="0" borderId="1" xfId="0" applyFont="1" applyBorder="1" applyAlignment="1">
      <alignment horizontal="center" vertical="center"/>
    </xf>
    <xf numFmtId="41" fontId="56" fillId="0" borderId="1" xfId="12" applyFont="1" applyFill="1" applyBorder="1" applyAlignment="1">
      <alignment horizontal="justify" vertical="center" wrapText="1"/>
    </xf>
    <xf numFmtId="0" fontId="56" fillId="0" borderId="1" xfId="0" applyFont="1" applyBorder="1" applyAlignment="1">
      <alignment horizontal="justify" vertical="center" wrapText="1"/>
    </xf>
    <xf numFmtId="0" fontId="56" fillId="0" borderId="1" xfId="0" applyFont="1" applyBorder="1" applyAlignment="1">
      <alignment horizontal="center" vertical="center" wrapText="1"/>
    </xf>
    <xf numFmtId="3" fontId="56" fillId="0" borderId="1" xfId="11" applyNumberFormat="1" applyFont="1" applyBorder="1" applyAlignment="1">
      <alignment horizontal="center" vertical="center" wrapText="1"/>
    </xf>
    <xf numFmtId="167" fontId="56" fillId="0" borderId="1" xfId="11" applyFont="1" applyBorder="1" applyAlignment="1">
      <alignment horizontal="center" vertical="center" wrapText="1"/>
    </xf>
    <xf numFmtId="3" fontId="56" fillId="0" borderId="1" xfId="0" applyNumberFormat="1" applyFont="1" applyBorder="1" applyAlignment="1">
      <alignment horizontal="center" vertical="center"/>
    </xf>
    <xf numFmtId="3" fontId="56" fillId="19" borderId="1" xfId="0" applyNumberFormat="1" applyFont="1" applyFill="1" applyBorder="1" applyAlignment="1">
      <alignment horizontal="center" vertical="center"/>
    </xf>
    <xf numFmtId="9" fontId="56" fillId="19" borderId="1" xfId="28" applyFont="1" applyFill="1" applyBorder="1" applyAlignment="1">
      <alignment vertical="center"/>
    </xf>
    <xf numFmtId="0" fontId="57" fillId="0" borderId="1" xfId="0" applyFont="1" applyBorder="1" applyAlignment="1">
      <alignment horizontal="center" vertical="center"/>
    </xf>
    <xf numFmtId="0" fontId="56" fillId="0" borderId="1" xfId="0" applyFont="1" applyBorder="1" applyAlignment="1">
      <alignment vertical="center"/>
    </xf>
    <xf numFmtId="4" fontId="56" fillId="0" borderId="1" xfId="0" applyNumberFormat="1" applyFont="1" applyBorder="1" applyAlignment="1">
      <alignment horizontal="center" vertical="center"/>
    </xf>
    <xf numFmtId="4" fontId="56" fillId="0" borderId="1" xfId="12" applyNumberFormat="1" applyFont="1" applyFill="1" applyBorder="1" applyAlignment="1">
      <alignment horizontal="center" vertical="center" wrapText="1"/>
    </xf>
    <xf numFmtId="41" fontId="56" fillId="0" borderId="1" xfId="12" applyFont="1" applyFill="1" applyBorder="1" applyAlignment="1">
      <alignment vertical="center" wrapText="1"/>
    </xf>
    <xf numFmtId="3" fontId="56" fillId="0" borderId="1" xfId="0" applyNumberFormat="1" applyFont="1" applyBorder="1" applyAlignment="1">
      <alignment horizontal="center" vertical="center" wrapText="1"/>
    </xf>
    <xf numFmtId="3" fontId="57" fillId="9" borderId="22" xfId="0" applyNumberFormat="1" applyFont="1" applyFill="1" applyBorder="1" applyAlignment="1">
      <alignment horizontal="center" vertical="center"/>
    </xf>
    <xf numFmtId="3" fontId="57" fillId="9" borderId="23" xfId="0" applyNumberFormat="1" applyFont="1" applyFill="1" applyBorder="1" applyAlignment="1">
      <alignment horizontal="center" vertical="center"/>
    </xf>
    <xf numFmtId="3" fontId="57" fillId="9" borderId="24" xfId="0" applyNumberFormat="1" applyFont="1" applyFill="1" applyBorder="1" applyAlignment="1">
      <alignment horizontal="center" vertical="center"/>
    </xf>
    <xf numFmtId="3" fontId="57" fillId="9" borderId="3" xfId="0" applyNumberFormat="1" applyFont="1" applyFill="1" applyBorder="1" applyAlignment="1">
      <alignment horizontal="center" vertical="center"/>
    </xf>
    <xf numFmtId="3" fontId="57" fillId="9" borderId="25" xfId="0" applyNumberFormat="1" applyFont="1" applyFill="1" applyBorder="1" applyAlignment="1">
      <alignment horizontal="center" vertical="center"/>
    </xf>
    <xf numFmtId="0" fontId="57" fillId="9" borderId="1" xfId="0" applyFont="1" applyFill="1" applyBorder="1" applyAlignment="1">
      <alignment horizontal="center" vertical="center" wrapText="1"/>
    </xf>
    <xf numFmtId="1" fontId="57" fillId="9" borderId="1" xfId="0" applyNumberFormat="1" applyFont="1" applyFill="1" applyBorder="1" applyAlignment="1">
      <alignment horizontal="center" vertical="center" wrapText="1"/>
    </xf>
    <xf numFmtId="3" fontId="3" fillId="9" borderId="10" xfId="0" applyNumberFormat="1" applyFont="1" applyFill="1" applyBorder="1" applyAlignment="1">
      <alignment horizontal="center" vertical="center" wrapText="1"/>
    </xf>
    <xf numFmtId="3" fontId="57" fillId="9" borderId="1" xfId="0" applyNumberFormat="1" applyFont="1" applyFill="1" applyBorder="1" applyAlignment="1">
      <alignment horizontal="center" vertical="center" wrapText="1"/>
    </xf>
    <xf numFmtId="9" fontId="12" fillId="0" borderId="10" xfId="22"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0" fontId="12" fillId="20" borderId="27" xfId="22" applyFont="1" applyFill="1" applyBorder="1" applyAlignment="1">
      <alignment horizontal="center" vertical="center" wrapText="1"/>
    </xf>
    <xf numFmtId="0" fontId="31" fillId="0" borderId="13" xfId="0" applyFont="1" applyBorder="1" applyAlignment="1">
      <alignment vertical="center"/>
    </xf>
    <xf numFmtId="0" fontId="31" fillId="0" borderId="14" xfId="0" applyFont="1" applyBorder="1" applyAlignment="1">
      <alignment vertical="center"/>
    </xf>
    <xf numFmtId="3" fontId="57" fillId="9" borderId="0" xfId="0" applyNumberFormat="1" applyFont="1" applyFill="1" applyAlignment="1">
      <alignment horizontal="center" vertical="center"/>
    </xf>
    <xf numFmtId="0" fontId="57" fillId="9" borderId="8" xfId="0" applyFont="1" applyFill="1" applyBorder="1" applyAlignment="1">
      <alignment horizontal="center" vertical="center" wrapText="1"/>
    </xf>
    <xf numFmtId="0" fontId="57" fillId="0" borderId="8" xfId="0" applyFont="1" applyBorder="1" applyAlignment="1">
      <alignment horizontal="center" vertical="center" wrapText="1"/>
    </xf>
    <xf numFmtId="0" fontId="56" fillId="0" borderId="8" xfId="0" applyFont="1" applyBorder="1" applyAlignment="1">
      <alignment horizontal="center" vertical="center"/>
    </xf>
    <xf numFmtId="0" fontId="57" fillId="0" borderId="8" xfId="0" applyFont="1" applyBorder="1" applyAlignment="1">
      <alignment horizontal="center" vertical="center"/>
    </xf>
    <xf numFmtId="0" fontId="12" fillId="9" borderId="8" xfId="0" applyFont="1" applyFill="1" applyBorder="1" applyAlignment="1">
      <alignment horizontal="left" vertical="center" wrapText="1"/>
    </xf>
    <xf numFmtId="0" fontId="12" fillId="9" borderId="8" xfId="0" applyFont="1" applyFill="1" applyBorder="1" applyAlignment="1">
      <alignment vertical="center" wrapText="1"/>
    </xf>
    <xf numFmtId="0" fontId="17" fillId="19" borderId="13" xfId="0" applyFont="1" applyFill="1" applyBorder="1" applyAlignment="1">
      <alignment vertical="center"/>
    </xf>
    <xf numFmtId="0" fontId="17" fillId="19" borderId="0" xfId="0" applyFont="1" applyFill="1" applyAlignment="1">
      <alignment vertical="center"/>
    </xf>
    <xf numFmtId="0" fontId="17" fillId="19" borderId="0" xfId="0" applyFont="1" applyFill="1" applyAlignment="1">
      <alignment horizontal="center" vertical="center"/>
    </xf>
    <xf numFmtId="0" fontId="12" fillId="9" borderId="90" xfId="0" applyFont="1" applyFill="1" applyBorder="1" applyAlignment="1">
      <alignment horizontal="center" vertical="center" wrapText="1"/>
    </xf>
    <xf numFmtId="0" fontId="17" fillId="0" borderId="8" xfId="0" applyFont="1" applyBorder="1" applyAlignment="1">
      <alignment vertical="center"/>
    </xf>
    <xf numFmtId="0" fontId="17" fillId="0" borderId="9" xfId="0" applyFont="1" applyBorder="1" applyAlignment="1">
      <alignment vertical="center" wrapText="1"/>
    </xf>
    <xf numFmtId="0" fontId="13" fillId="0" borderId="9" xfId="0" applyFont="1" applyBorder="1" applyAlignment="1">
      <alignment vertical="center"/>
    </xf>
    <xf numFmtId="0" fontId="13" fillId="22" borderId="8" xfId="0" applyFont="1" applyFill="1" applyBorder="1" applyAlignment="1">
      <alignment horizontal="left" vertical="center"/>
    </xf>
    <xf numFmtId="0" fontId="13" fillId="22" borderId="9" xfId="0" applyFont="1" applyFill="1" applyBorder="1" applyAlignment="1">
      <alignment horizontal="center" vertical="center"/>
    </xf>
    <xf numFmtId="0" fontId="13" fillId="22" borderId="31" xfId="0" applyFont="1" applyFill="1" applyBorder="1" applyAlignment="1">
      <alignment horizontal="left" vertical="center"/>
    </xf>
    <xf numFmtId="0" fontId="13" fillId="22" borderId="19" xfId="0" applyFont="1" applyFill="1" applyBorder="1" applyAlignment="1">
      <alignment horizontal="center" vertical="center"/>
    </xf>
    <xf numFmtId="0" fontId="31" fillId="0" borderId="15" xfId="0" applyFont="1" applyBorder="1" applyAlignment="1">
      <alignment vertical="center"/>
    </xf>
    <xf numFmtId="0" fontId="13" fillId="22" borderId="19" xfId="0" applyFont="1" applyFill="1" applyBorder="1" applyAlignment="1">
      <alignment horizontal="left" vertical="center"/>
    </xf>
    <xf numFmtId="0" fontId="13" fillId="22" borderId="33" xfId="0" applyFont="1" applyFill="1" applyBorder="1" applyAlignment="1">
      <alignment horizontal="center" vertical="center"/>
    </xf>
    <xf numFmtId="0" fontId="56" fillId="19" borderId="1" xfId="28" applyNumberFormat="1" applyFont="1" applyFill="1" applyBorder="1" applyAlignment="1">
      <alignment horizontal="justify" vertical="center" wrapText="1"/>
    </xf>
    <xf numFmtId="9" fontId="56" fillId="19" borderId="1" xfId="28" applyFont="1" applyFill="1" applyBorder="1" applyAlignment="1">
      <alignment horizontal="justify" vertical="center" wrapText="1"/>
    </xf>
    <xf numFmtId="0" fontId="56" fillId="19" borderId="9" xfId="0" applyFont="1" applyFill="1" applyBorder="1" applyAlignment="1">
      <alignment horizontal="justify" vertical="center" wrapText="1"/>
    </xf>
    <xf numFmtId="9" fontId="11" fillId="23" borderId="1" xfId="28" applyFont="1" applyFill="1" applyBorder="1" applyAlignment="1" applyProtection="1">
      <alignment horizontal="center" vertical="center" wrapText="1"/>
      <protection locked="0"/>
    </xf>
    <xf numFmtId="3" fontId="56" fillId="19" borderId="1" xfId="0" applyNumberFormat="1" applyFont="1" applyFill="1" applyBorder="1" applyAlignment="1">
      <alignment horizontal="center" vertical="center" wrapText="1"/>
    </xf>
    <xf numFmtId="0" fontId="56" fillId="19" borderId="1" xfId="0" applyFont="1" applyFill="1" applyBorder="1" applyAlignment="1">
      <alignment horizontal="center" vertical="center"/>
    </xf>
    <xf numFmtId="0" fontId="56" fillId="19" borderId="1" xfId="0" applyFont="1" applyFill="1" applyBorder="1" applyAlignment="1">
      <alignment horizontal="center" vertical="center" wrapText="1"/>
    </xf>
    <xf numFmtId="0" fontId="56" fillId="19" borderId="0" xfId="0" applyFont="1" applyFill="1" applyAlignment="1">
      <alignment horizontal="justify" vertical="center" wrapText="1"/>
    </xf>
    <xf numFmtId="0" fontId="4" fillId="19" borderId="0" xfId="0" applyFont="1" applyFill="1" applyAlignment="1">
      <alignment horizontal="justify" vertical="center" wrapText="1"/>
    </xf>
    <xf numFmtId="9" fontId="11" fillId="33" borderId="1" xfId="28" applyFont="1" applyFill="1" applyBorder="1" applyAlignment="1" applyProtection="1">
      <alignment horizontal="center" vertical="center" wrapText="1"/>
      <protection locked="0"/>
    </xf>
    <xf numFmtId="9" fontId="11" fillId="33" borderId="2" xfId="28" applyFont="1" applyFill="1" applyBorder="1" applyAlignment="1" applyProtection="1">
      <alignment horizontal="center" vertical="center" wrapText="1"/>
      <protection locked="0"/>
    </xf>
    <xf numFmtId="9" fontId="11" fillId="33" borderId="21" xfId="28" applyFont="1" applyFill="1" applyBorder="1" applyAlignment="1" applyProtection="1">
      <alignment horizontal="center" vertical="center" wrapText="1"/>
      <protection locked="0"/>
    </xf>
    <xf numFmtId="0" fontId="12" fillId="9" borderId="10" xfId="0" applyFont="1" applyFill="1" applyBorder="1" applyAlignment="1">
      <alignment horizontal="center" vertical="center" wrapText="1"/>
    </xf>
    <xf numFmtId="9" fontId="56" fillId="19" borderId="1" xfId="28" applyFont="1" applyFill="1" applyBorder="1" applyAlignment="1">
      <alignment horizontal="left" vertical="top" wrapText="1"/>
    </xf>
    <xf numFmtId="0" fontId="56" fillId="19" borderId="9" xfId="0" applyFont="1" applyFill="1" applyBorder="1" applyAlignment="1">
      <alignment horizontal="justify" vertical="top" wrapText="1"/>
    </xf>
    <xf numFmtId="0" fontId="59" fillId="34" borderId="1" xfId="0" applyFont="1" applyFill="1" applyBorder="1" applyAlignment="1">
      <alignment vertical="top" wrapText="1"/>
    </xf>
    <xf numFmtId="0" fontId="59" fillId="34" borderId="26" xfId="0" applyFont="1" applyFill="1" applyBorder="1" applyAlignment="1">
      <alignment vertical="top" wrapText="1"/>
    </xf>
    <xf numFmtId="0" fontId="35" fillId="0" borderId="1" xfId="0" applyFont="1" applyBorder="1" applyAlignment="1">
      <alignment horizontal="center" vertical="center"/>
    </xf>
    <xf numFmtId="0" fontId="31" fillId="0" borderId="0" xfId="0" applyFont="1" applyAlignment="1">
      <alignment vertical="center" wrapText="1"/>
    </xf>
    <xf numFmtId="9" fontId="56" fillId="0" borderId="1" xfId="28" applyFont="1" applyFill="1" applyBorder="1" applyAlignment="1">
      <alignment horizontal="justify" vertical="center" wrapText="1"/>
    </xf>
    <xf numFmtId="10" fontId="31" fillId="19" borderId="9" xfId="28" applyNumberFormat="1" applyFont="1" applyFill="1" applyBorder="1" applyAlignment="1">
      <alignment vertical="center"/>
    </xf>
    <xf numFmtId="9" fontId="31" fillId="0" borderId="33" xfId="28" applyFont="1" applyFill="1" applyBorder="1" applyAlignment="1">
      <alignment vertical="center"/>
    </xf>
    <xf numFmtId="0" fontId="40" fillId="27" borderId="81" xfId="0" applyFont="1" applyFill="1" applyBorder="1" applyAlignment="1">
      <alignment horizontal="center" vertical="center" wrapText="1"/>
    </xf>
    <xf numFmtId="0" fontId="11" fillId="0" borderId="86" xfId="0" applyFont="1" applyBorder="1" applyAlignment="1">
      <alignment vertical="center"/>
    </xf>
    <xf numFmtId="0" fontId="11" fillId="0" borderId="79" xfId="0" applyFont="1" applyBorder="1" applyAlignment="1">
      <alignment vertical="center"/>
    </xf>
    <xf numFmtId="9" fontId="44" fillId="0" borderId="85" xfId="0" applyNumberFormat="1" applyFont="1" applyBorder="1" applyAlignment="1">
      <alignment horizontal="justify" vertical="center" wrapText="1"/>
    </xf>
    <xf numFmtId="9" fontId="44" fillId="0" borderId="77" xfId="0" applyNumberFormat="1" applyFont="1" applyBorder="1" applyAlignment="1">
      <alignment horizontal="justify" vertical="center" wrapText="1"/>
    </xf>
    <xf numFmtId="9" fontId="42" fillId="0" borderId="85" xfId="0" applyNumberFormat="1" applyFont="1" applyBorder="1" applyAlignment="1">
      <alignment horizontal="center" vertical="center" wrapText="1"/>
    </xf>
    <xf numFmtId="9" fontId="11" fillId="0" borderId="77" xfId="0" applyNumberFormat="1" applyFont="1" applyBorder="1" applyAlignment="1">
      <alignment vertical="center"/>
    </xf>
    <xf numFmtId="0" fontId="44" fillId="0" borderId="77" xfId="0" applyFont="1" applyBorder="1" applyAlignment="1">
      <alignment horizontal="justify" vertical="center" wrapText="1"/>
    </xf>
    <xf numFmtId="174" fontId="42" fillId="0" borderId="85" xfId="0" applyNumberFormat="1" applyFont="1" applyBorder="1" applyAlignment="1">
      <alignment horizontal="center" vertical="center" wrapText="1"/>
    </xf>
    <xf numFmtId="174" fontId="11" fillId="0" borderId="77" xfId="0" applyNumberFormat="1" applyFont="1" applyBorder="1" applyAlignment="1">
      <alignment vertical="center"/>
    </xf>
    <xf numFmtId="2" fontId="11" fillId="0" borderId="8" xfId="22" applyNumberFormat="1" applyFont="1" applyBorder="1" applyAlignment="1">
      <alignment horizontal="justify" vertical="center" wrapText="1"/>
    </xf>
    <xf numFmtId="174" fontId="11" fillId="0" borderId="1" xfId="22" applyNumberFormat="1" applyFont="1" applyBorder="1" applyAlignment="1">
      <alignment horizontal="center" vertical="center" wrapText="1"/>
    </xf>
    <xf numFmtId="0" fontId="40" fillId="27" borderId="85" xfId="0" applyFont="1" applyFill="1" applyBorder="1" applyAlignment="1">
      <alignment horizontal="center" vertical="center" wrapText="1"/>
    </xf>
    <xf numFmtId="0" fontId="11" fillId="0" borderId="77" xfId="0" applyFont="1" applyBorder="1" applyAlignment="1">
      <alignment vertical="center"/>
    </xf>
    <xf numFmtId="9" fontId="35" fillId="19" borderId="54" xfId="22" applyNumberFormat="1" applyFont="1" applyFill="1" applyBorder="1" applyAlignment="1">
      <alignment horizontal="left" vertical="top" wrapText="1"/>
    </xf>
    <xf numFmtId="9" fontId="35" fillId="19" borderId="22" xfId="22" applyNumberFormat="1" applyFont="1" applyFill="1" applyBorder="1" applyAlignment="1">
      <alignment horizontal="left" vertical="top" wrapText="1"/>
    </xf>
    <xf numFmtId="9" fontId="35" fillId="19" borderId="60" xfId="22" applyNumberFormat="1" applyFont="1" applyFill="1" applyBorder="1" applyAlignment="1">
      <alignment horizontal="left" vertical="top" wrapText="1"/>
    </xf>
    <xf numFmtId="9" fontId="35" fillId="19" borderId="20" xfId="22" applyNumberFormat="1" applyFont="1" applyFill="1" applyBorder="1" applyAlignment="1">
      <alignment horizontal="left" vertical="top" wrapText="1"/>
    </xf>
    <xf numFmtId="9" fontId="35" fillId="19" borderId="3" xfId="22" applyNumberFormat="1" applyFont="1" applyFill="1" applyBorder="1" applyAlignment="1">
      <alignment horizontal="left" vertical="top" wrapText="1"/>
    </xf>
    <xf numFmtId="9" fontId="35" fillId="19" borderId="7" xfId="22" applyNumberFormat="1" applyFont="1" applyFill="1" applyBorder="1" applyAlignment="1">
      <alignment horizontal="left" vertical="top" wrapText="1"/>
    </xf>
    <xf numFmtId="9" fontId="11" fillId="19" borderId="54" xfId="22" applyNumberFormat="1" applyFont="1" applyFill="1" applyBorder="1" applyAlignment="1">
      <alignment horizontal="left" vertical="top" wrapText="1"/>
    </xf>
    <xf numFmtId="9" fontId="11" fillId="19" borderId="22" xfId="22" applyNumberFormat="1" applyFont="1" applyFill="1" applyBorder="1" applyAlignment="1">
      <alignment horizontal="left" vertical="top" wrapText="1"/>
    </xf>
    <xf numFmtId="9" fontId="11" fillId="19" borderId="60" xfId="22" applyNumberFormat="1" applyFont="1" applyFill="1" applyBorder="1" applyAlignment="1">
      <alignment horizontal="left" vertical="top" wrapText="1"/>
    </xf>
    <xf numFmtId="9" fontId="11" fillId="19" borderId="64" xfId="22" applyNumberFormat="1" applyFont="1" applyFill="1" applyBorder="1" applyAlignment="1">
      <alignment horizontal="left" vertical="top" wrapText="1"/>
    </xf>
    <xf numFmtId="9" fontId="11" fillId="19" borderId="0" xfId="22" applyNumberFormat="1" applyFont="1" applyFill="1" applyAlignment="1">
      <alignment horizontal="left" vertical="top" wrapText="1"/>
    </xf>
    <xf numFmtId="9" fontId="11" fillId="19" borderId="14" xfId="22" applyNumberFormat="1" applyFont="1" applyFill="1" applyBorder="1" applyAlignment="1">
      <alignment horizontal="left" vertical="top" wrapText="1"/>
    </xf>
    <xf numFmtId="2" fontId="11" fillId="0" borderId="32" xfId="22" applyNumberFormat="1" applyFont="1" applyBorder="1" applyAlignment="1">
      <alignment horizontal="justify" vertical="center" wrapText="1"/>
    </xf>
    <xf numFmtId="9" fontId="11" fillId="0" borderId="44" xfId="22" applyNumberFormat="1" applyFont="1" applyBorder="1" applyAlignment="1">
      <alignment horizontal="center" vertical="center" wrapText="1"/>
    </xf>
    <xf numFmtId="9" fontId="11" fillId="0" borderId="1" xfId="22" applyNumberFormat="1" applyFont="1" applyBorder="1" applyAlignment="1">
      <alignment horizontal="center" vertical="center" wrapText="1"/>
    </xf>
    <xf numFmtId="9" fontId="35" fillId="0" borderId="54" xfId="22" applyNumberFormat="1" applyFont="1" applyBorder="1" applyAlignment="1">
      <alignment horizontal="left" vertical="top" wrapText="1"/>
    </xf>
    <xf numFmtId="9" fontId="35" fillId="0" borderId="22" xfId="22" applyNumberFormat="1" applyFont="1" applyBorder="1" applyAlignment="1">
      <alignment horizontal="left" vertical="top" wrapText="1"/>
    </xf>
    <xf numFmtId="9" fontId="35" fillId="0" borderId="60" xfId="22" applyNumberFormat="1" applyFont="1" applyBorder="1" applyAlignment="1">
      <alignment horizontal="left" vertical="top" wrapText="1"/>
    </xf>
    <xf numFmtId="9" fontId="35" fillId="0" borderId="20" xfId="22" applyNumberFormat="1" applyFont="1" applyBorder="1" applyAlignment="1">
      <alignment horizontal="left" vertical="top" wrapText="1"/>
    </xf>
    <xf numFmtId="9" fontId="35" fillId="0" borderId="3" xfId="22" applyNumberFormat="1" applyFont="1" applyBorder="1" applyAlignment="1">
      <alignment horizontal="left" vertical="top" wrapText="1"/>
    </xf>
    <xf numFmtId="9" fontId="35" fillId="0" borderId="7" xfId="22" applyNumberFormat="1" applyFont="1" applyBorder="1" applyAlignment="1">
      <alignment horizontal="left" vertical="top" wrapText="1"/>
    </xf>
    <xf numFmtId="9" fontId="11" fillId="19" borderId="54" xfId="22" applyNumberFormat="1" applyFont="1" applyFill="1" applyBorder="1" applyAlignment="1">
      <alignment horizontal="left" vertical="center" wrapText="1"/>
    </xf>
    <xf numFmtId="9" fontId="11" fillId="19" borderId="22" xfId="22" applyNumberFormat="1" applyFont="1" applyFill="1" applyBorder="1" applyAlignment="1">
      <alignment horizontal="left" vertical="center" wrapText="1"/>
    </xf>
    <xf numFmtId="9" fontId="11" fillId="19" borderId="60" xfId="22" applyNumberFormat="1" applyFont="1" applyFill="1" applyBorder="1" applyAlignment="1">
      <alignment horizontal="left" vertical="center" wrapText="1"/>
    </xf>
    <xf numFmtId="9" fontId="11" fillId="19" borderId="64" xfId="22" applyNumberFormat="1" applyFont="1" applyFill="1" applyBorder="1" applyAlignment="1">
      <alignment horizontal="left" vertical="center" wrapText="1"/>
    </xf>
    <xf numFmtId="9" fontId="11" fillId="19" borderId="0" xfId="22" applyNumberFormat="1" applyFont="1" applyFill="1" applyAlignment="1">
      <alignment horizontal="left" vertical="center" wrapText="1"/>
    </xf>
    <xf numFmtId="9" fontId="11" fillId="19" borderId="14" xfId="22" applyNumberFormat="1" applyFont="1" applyFill="1" applyBorder="1" applyAlignment="1">
      <alignment horizontal="left" vertical="center" wrapText="1"/>
    </xf>
    <xf numFmtId="9" fontId="35" fillId="19" borderId="54" xfId="22" applyNumberFormat="1" applyFont="1" applyFill="1" applyBorder="1" applyAlignment="1">
      <alignment horizontal="left" vertical="center" wrapText="1"/>
    </xf>
    <xf numFmtId="9" fontId="11" fillId="19" borderId="20" xfId="22" applyNumberFormat="1" applyFont="1" applyFill="1" applyBorder="1" applyAlignment="1">
      <alignment horizontal="left" vertical="center" wrapText="1"/>
    </xf>
    <xf numFmtId="9" fontId="11" fillId="19" borderId="3" xfId="22" applyNumberFormat="1" applyFont="1" applyFill="1" applyBorder="1" applyAlignment="1">
      <alignment horizontal="left" vertical="center" wrapText="1"/>
    </xf>
    <xf numFmtId="9" fontId="11" fillId="19" borderId="7" xfId="22" applyNumberFormat="1" applyFont="1" applyFill="1" applyBorder="1" applyAlignment="1">
      <alignment horizontal="left" vertical="center" wrapText="1"/>
    </xf>
    <xf numFmtId="0" fontId="12" fillId="20" borderId="52"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20" borderId="61" xfId="22" applyFont="1" applyFill="1" applyBorder="1" applyAlignment="1">
      <alignment horizontal="center" vertical="center" wrapText="1"/>
    </xf>
    <xf numFmtId="0" fontId="12" fillId="20" borderId="4" xfId="22" applyFont="1" applyFill="1" applyBorder="1" applyAlignment="1">
      <alignment horizontal="center" vertical="center" wrapText="1"/>
    </xf>
    <xf numFmtId="0" fontId="12" fillId="20" borderId="44" xfId="22" applyFont="1" applyFill="1" applyBorder="1" applyAlignment="1">
      <alignment horizontal="center" vertical="center" wrapText="1"/>
    </xf>
    <xf numFmtId="0" fontId="12" fillId="20" borderId="53" xfId="22" applyFont="1" applyFill="1" applyBorder="1" applyAlignment="1">
      <alignment horizontal="center" vertical="center" wrapText="1"/>
    </xf>
    <xf numFmtId="0" fontId="12" fillId="20" borderId="62" xfId="22" applyFont="1" applyFill="1" applyBorder="1" applyAlignment="1">
      <alignment horizontal="center" vertical="center" wrapText="1"/>
    </xf>
    <xf numFmtId="0" fontId="12" fillId="20" borderId="48"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20" borderId="55" xfId="22" applyFont="1" applyFill="1" applyBorder="1" applyAlignment="1">
      <alignment horizontal="center" vertical="center" wrapText="1"/>
    </xf>
    <xf numFmtId="0" fontId="12" fillId="20" borderId="26" xfId="22" applyFont="1" applyFill="1" applyBorder="1" applyAlignment="1">
      <alignment horizontal="center" vertical="center" wrapText="1"/>
    </xf>
    <xf numFmtId="0" fontId="12" fillId="0" borderId="18" xfId="22" applyFont="1" applyBorder="1" applyAlignment="1">
      <alignment horizontal="justify" vertical="center" wrapText="1"/>
    </xf>
    <xf numFmtId="0" fontId="12" fillId="0" borderId="56" xfId="22" applyFont="1" applyBorder="1" applyAlignment="1">
      <alignment horizontal="justify" vertical="center" wrapText="1"/>
    </xf>
    <xf numFmtId="9" fontId="12" fillId="0" borderId="10" xfId="22" applyNumberFormat="1" applyFont="1" applyBorder="1" applyAlignment="1">
      <alignment horizontal="center" vertical="center" wrapText="1"/>
    </xf>
    <xf numFmtId="9" fontId="12" fillId="0" borderId="57" xfId="22" applyNumberFormat="1" applyFont="1" applyBorder="1" applyAlignment="1">
      <alignment horizontal="center" vertical="center" wrapText="1"/>
    </xf>
    <xf numFmtId="9" fontId="11" fillId="19" borderId="54" xfId="30" applyFont="1" applyFill="1" applyBorder="1" applyAlignment="1" applyProtection="1">
      <alignment horizontal="justify" vertical="center" wrapText="1"/>
    </xf>
    <xf numFmtId="9" fontId="11" fillId="19" borderId="22" xfId="30" applyFont="1" applyFill="1" applyBorder="1" applyAlignment="1" applyProtection="1">
      <alignment horizontal="justify" vertical="center" wrapText="1"/>
    </xf>
    <xf numFmtId="9" fontId="11" fillId="19" borderId="23" xfId="30" applyFont="1" applyFill="1" applyBorder="1" applyAlignment="1" applyProtection="1">
      <alignment horizontal="justify" vertical="center" wrapText="1"/>
    </xf>
    <xf numFmtId="9" fontId="11" fillId="19" borderId="58" xfId="30" applyFont="1" applyFill="1" applyBorder="1" applyAlignment="1" applyProtection="1">
      <alignment horizontal="justify" vertical="center" wrapText="1"/>
    </xf>
    <xf numFmtId="9" fontId="11" fillId="19" borderId="15" xfId="30" applyFont="1" applyFill="1" applyBorder="1" applyAlignment="1" applyProtection="1">
      <alignment horizontal="justify" vertical="center" wrapText="1"/>
    </xf>
    <xf numFmtId="9" fontId="11" fillId="19" borderId="59" xfId="30" applyFont="1" applyFill="1" applyBorder="1" applyAlignment="1" applyProtection="1">
      <alignment horizontal="justify" vertical="center" wrapText="1"/>
    </xf>
    <xf numFmtId="9" fontId="11" fillId="19" borderId="54" xfId="30" applyFont="1" applyFill="1" applyBorder="1" applyAlignment="1" applyProtection="1">
      <alignment horizontal="center" vertical="center" wrapText="1"/>
    </xf>
    <xf numFmtId="9" fontId="11" fillId="19" borderId="22" xfId="30" applyFont="1" applyFill="1" applyBorder="1" applyAlignment="1" applyProtection="1">
      <alignment horizontal="center" vertical="center" wrapText="1"/>
    </xf>
    <xf numFmtId="9" fontId="11" fillId="19" borderId="23" xfId="30" applyFont="1" applyFill="1" applyBorder="1" applyAlignment="1" applyProtection="1">
      <alignment horizontal="center" vertical="center" wrapText="1"/>
    </xf>
    <xf numFmtId="9" fontId="11" fillId="19" borderId="58" xfId="30" applyFont="1" applyFill="1" applyBorder="1" applyAlignment="1" applyProtection="1">
      <alignment horizontal="center" vertical="center" wrapText="1"/>
    </xf>
    <xf numFmtId="9" fontId="11" fillId="19" borderId="15" xfId="30" applyFont="1" applyFill="1" applyBorder="1" applyAlignment="1" applyProtection="1">
      <alignment horizontal="center" vertical="center" wrapText="1"/>
    </xf>
    <xf numFmtId="9" fontId="11" fillId="19" borderId="59" xfId="30" applyFont="1" applyFill="1" applyBorder="1" applyAlignment="1" applyProtection="1">
      <alignment horizontal="center" vertical="center" wrapText="1"/>
    </xf>
    <xf numFmtId="9" fontId="11" fillId="19" borderId="60" xfId="30" applyFont="1" applyFill="1" applyBorder="1" applyAlignment="1" applyProtection="1">
      <alignment horizontal="justify" vertical="center" wrapText="1"/>
    </xf>
    <xf numFmtId="9" fontId="11" fillId="19" borderId="16" xfId="30" applyFont="1" applyFill="1" applyBorder="1" applyAlignment="1" applyProtection="1">
      <alignment horizontal="justify" vertical="center" wrapText="1"/>
    </xf>
    <xf numFmtId="4" fontId="12" fillId="0" borderId="54" xfId="22" applyNumberFormat="1" applyFont="1" applyBorder="1" applyAlignment="1">
      <alignment horizontal="center" vertical="center" wrapText="1"/>
    </xf>
    <xf numFmtId="4" fontId="12" fillId="0" borderId="23" xfId="22" applyNumberFormat="1" applyFont="1" applyBorder="1" applyAlignment="1">
      <alignment horizontal="center" vertical="center" wrapText="1"/>
    </xf>
    <xf numFmtId="0" fontId="11" fillId="0" borderId="1" xfId="22" applyFont="1" applyBorder="1" applyAlignment="1">
      <alignment horizontal="left" vertical="center" wrapText="1"/>
    </xf>
    <xf numFmtId="0" fontId="11" fillId="0" borderId="9" xfId="22" applyFont="1" applyBorder="1" applyAlignment="1">
      <alignment horizontal="left" vertical="center" wrapText="1"/>
    </xf>
    <xf numFmtId="0" fontId="12" fillId="0" borderId="52" xfId="22" applyFont="1" applyBorder="1" applyAlignment="1">
      <alignment horizontal="center" vertical="center" wrapText="1"/>
    </xf>
    <xf numFmtId="0" fontId="12" fillId="0" borderId="44" xfId="22" applyFont="1" applyBorder="1" applyAlignment="1">
      <alignment horizontal="center" vertical="center" wrapText="1"/>
    </xf>
    <xf numFmtId="0" fontId="12" fillId="0" borderId="45" xfId="22" applyFont="1" applyBorder="1" applyAlignment="1">
      <alignment horizontal="center" vertical="center" wrapText="1"/>
    </xf>
    <xf numFmtId="0" fontId="12" fillId="20" borderId="1" xfId="22" applyFont="1" applyFill="1" applyBorder="1" applyAlignment="1">
      <alignment horizontal="center" vertical="center" wrapText="1"/>
    </xf>
    <xf numFmtId="0" fontId="11" fillId="20" borderId="1" xfId="22" applyFont="1" applyFill="1" applyBorder="1" applyAlignment="1">
      <alignment horizontal="center" vertical="center" wrapText="1"/>
    </xf>
    <xf numFmtId="0" fontId="12" fillId="20" borderId="9" xfId="22" applyFont="1" applyFill="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3"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0" fontId="12" fillId="20" borderId="7" xfId="22" applyFont="1" applyFill="1" applyBorder="1" applyAlignment="1">
      <alignment horizontal="center" vertical="center" wrapText="1"/>
    </xf>
    <xf numFmtId="0" fontId="12" fillId="20" borderId="30"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20" borderId="54"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19" borderId="52" xfId="22" applyFont="1" applyFill="1" applyBorder="1" applyAlignment="1">
      <alignment horizontal="center" vertical="center" wrapText="1"/>
    </xf>
    <xf numFmtId="0" fontId="12" fillId="19" borderId="43" xfId="22" applyFont="1" applyFill="1" applyBorder="1" applyAlignment="1">
      <alignment horizontal="center" vertical="center" wrapText="1"/>
    </xf>
    <xf numFmtId="0" fontId="12" fillId="19" borderId="44" xfId="22" applyFont="1" applyFill="1" applyBorder="1" applyAlignment="1">
      <alignment horizontal="center" vertical="center" wrapText="1"/>
    </xf>
    <xf numFmtId="0" fontId="12" fillId="19" borderId="45" xfId="22" applyFont="1" applyFill="1" applyBorder="1" applyAlignment="1">
      <alignment horizontal="center" vertical="center" wrapText="1"/>
    </xf>
    <xf numFmtId="0" fontId="12" fillId="0" borderId="35" xfId="22" applyFont="1" applyBorder="1" applyAlignment="1">
      <alignment horizontal="center" vertical="center" wrapText="1"/>
    </xf>
    <xf numFmtId="0" fontId="12" fillId="0" borderId="36" xfId="22" applyFont="1" applyBorder="1" applyAlignment="1">
      <alignment horizontal="center" vertical="center" wrapText="1"/>
    </xf>
    <xf numFmtId="0" fontId="12" fillId="0" borderId="37" xfId="22" applyFont="1" applyBorder="1" applyAlignment="1">
      <alignment horizontal="center" vertical="center" wrapText="1"/>
    </xf>
    <xf numFmtId="0" fontId="12" fillId="19" borderId="15" xfId="22" applyFont="1" applyFill="1" applyBorder="1" applyAlignment="1">
      <alignment horizontal="left" vertical="center" wrapText="1"/>
    </xf>
    <xf numFmtId="0" fontId="12" fillId="20" borderId="35" xfId="22" applyFont="1" applyFill="1" applyBorder="1" applyAlignment="1">
      <alignment horizontal="left" vertical="center" wrapText="1"/>
    </xf>
    <xf numFmtId="0" fontId="12" fillId="20" borderId="37" xfId="22" applyFont="1" applyFill="1" applyBorder="1" applyAlignment="1">
      <alignment horizontal="left" vertical="center" wrapText="1"/>
    </xf>
    <xf numFmtId="0" fontId="11" fillId="0" borderId="35" xfId="22" applyFont="1" applyBorder="1" applyAlignment="1">
      <alignment horizontal="center" vertical="center" wrapText="1"/>
    </xf>
    <xf numFmtId="0" fontId="11" fillId="0" borderId="36" xfId="22" applyFont="1" applyBorder="1" applyAlignment="1">
      <alignment horizontal="center" vertical="center" wrapText="1"/>
    </xf>
    <xf numFmtId="0" fontId="11" fillId="0" borderId="37" xfId="22" applyFont="1" applyBorder="1" applyAlignment="1">
      <alignment horizontal="center" vertical="center" wrapText="1"/>
    </xf>
    <xf numFmtId="9" fontId="12" fillId="0" borderId="35" xfId="22" applyNumberFormat="1" applyFont="1" applyBorder="1" applyAlignment="1">
      <alignment horizontal="center" vertical="center" wrapText="1"/>
    </xf>
    <xf numFmtId="9" fontId="12" fillId="0" borderId="37" xfId="22" applyNumberFormat="1" applyFont="1" applyBorder="1" applyAlignment="1">
      <alignment horizontal="center" vertical="center" wrapText="1"/>
    </xf>
    <xf numFmtId="0" fontId="15" fillId="0" borderId="35" xfId="22" applyFont="1" applyBorder="1" applyAlignment="1">
      <alignment horizontal="center" vertical="center" wrapText="1"/>
    </xf>
    <xf numFmtId="0" fontId="15" fillId="0" borderId="36" xfId="22" applyFont="1" applyBorder="1" applyAlignment="1">
      <alignment horizontal="center" vertical="center" wrapText="1"/>
    </xf>
    <xf numFmtId="0" fontId="15" fillId="0" borderId="37" xfId="22" applyFont="1" applyBorder="1" applyAlignment="1">
      <alignment horizontal="center" vertical="center" wrapText="1"/>
    </xf>
    <xf numFmtId="0" fontId="12" fillId="0" borderId="27" xfId="22" applyFont="1" applyBorder="1" applyAlignment="1">
      <alignment horizontal="center" vertical="center" wrapText="1"/>
    </xf>
    <xf numFmtId="0" fontId="12" fillId="0" borderId="28" xfId="22" applyFont="1" applyBorder="1" applyAlignment="1">
      <alignment horizontal="center" vertical="center" wrapText="1"/>
    </xf>
    <xf numFmtId="0" fontId="12" fillId="0" borderId="29" xfId="22" applyFont="1" applyBorder="1" applyAlignment="1">
      <alignment horizontal="center" vertical="center" wrapText="1"/>
    </xf>
    <xf numFmtId="0" fontId="12" fillId="20" borderId="35" xfId="22" applyFont="1" applyFill="1" applyBorder="1" applyAlignment="1">
      <alignment horizontal="center" vertical="center" wrapText="1"/>
    </xf>
    <xf numFmtId="0" fontId="12" fillId="20" borderId="37" xfId="22" applyFont="1" applyFill="1" applyBorder="1" applyAlignment="1">
      <alignment horizontal="center" vertical="center" wrapText="1"/>
    </xf>
    <xf numFmtId="2" fontId="12" fillId="0" borderId="35" xfId="28" applyNumberFormat="1" applyFont="1" applyFill="1" applyBorder="1" applyAlignment="1" applyProtection="1">
      <alignment horizontal="center" vertical="center" wrapText="1"/>
    </xf>
    <xf numFmtId="2" fontId="12" fillId="0" borderId="37" xfId="28" applyNumberFormat="1" applyFont="1" applyFill="1" applyBorder="1" applyAlignment="1" applyProtection="1">
      <alignment horizontal="center" vertical="center" wrapText="1"/>
    </xf>
    <xf numFmtId="0" fontId="12" fillId="20" borderId="36" xfId="22" applyFont="1" applyFill="1" applyBorder="1" applyAlignment="1">
      <alignment horizontal="center" vertical="center" wrapText="1"/>
    </xf>
    <xf numFmtId="0" fontId="11" fillId="0" borderId="40" xfId="22" applyFont="1" applyBorder="1" applyAlignment="1">
      <alignment horizontal="center" vertical="center" wrapText="1"/>
    </xf>
    <xf numFmtId="0" fontId="11" fillId="0" borderId="41" xfId="22" applyFont="1" applyBorder="1" applyAlignment="1">
      <alignment horizontal="center" vertical="center" wrapText="1"/>
    </xf>
    <xf numFmtId="0" fontId="11" fillId="0" borderId="42" xfId="22" applyFont="1" applyBorder="1" applyAlignment="1">
      <alignment horizontal="center" vertical="center" wrapText="1"/>
    </xf>
    <xf numFmtId="0" fontId="12" fillId="0" borderId="39"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0" fontId="48" fillId="0" borderId="43" xfId="0" applyFont="1" applyBorder="1" applyAlignment="1">
      <alignment horizontal="left" vertical="center" wrapText="1"/>
    </xf>
    <xf numFmtId="0" fontId="48" fillId="0" borderId="44" xfId="0" applyFont="1" applyBorder="1" applyAlignment="1">
      <alignment horizontal="left" vertical="center" wrapText="1"/>
    </xf>
    <xf numFmtId="0" fontId="48" fillId="0" borderId="45" xfId="0" applyFont="1" applyBorder="1" applyAlignment="1">
      <alignment horizontal="left"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0" fontId="48" fillId="0" borderId="5" xfId="0" applyFont="1" applyBorder="1" applyAlignment="1">
      <alignment horizontal="left" vertical="center" wrapText="1"/>
    </xf>
    <xf numFmtId="0" fontId="48" fillId="0" borderId="1" xfId="0" applyFont="1" applyBorder="1" applyAlignment="1">
      <alignment horizontal="left" vertical="center" wrapText="1"/>
    </xf>
    <xf numFmtId="0" fontId="48" fillId="0" borderId="9" xfId="0" applyFont="1" applyBorder="1" applyAlignment="1">
      <alignment horizontal="left"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38"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49" fillId="0" borderId="46" xfId="0" applyFont="1" applyBorder="1" applyAlignment="1">
      <alignment horizontal="left" vertical="center" wrapText="1"/>
    </xf>
    <xf numFmtId="0" fontId="49" fillId="0" borderId="19" xfId="0" applyFont="1" applyBorder="1" applyAlignment="1">
      <alignment horizontal="left" vertical="center" wrapText="1"/>
    </xf>
    <xf numFmtId="0" fontId="49" fillId="0" borderId="33" xfId="0" applyFont="1" applyBorder="1" applyAlignment="1">
      <alignment horizontal="left" vertical="center" wrapText="1"/>
    </xf>
    <xf numFmtId="0" fontId="12" fillId="0" borderId="39" xfId="22" applyFont="1" applyBorder="1" applyAlignment="1">
      <alignment horizontal="center" vertical="center" wrapText="1"/>
    </xf>
    <xf numFmtId="0" fontId="12" fillId="0" borderId="11" xfId="22" applyFont="1" applyBorder="1" applyAlignment="1">
      <alignment horizontal="center" vertical="center" wrapText="1"/>
    </xf>
    <xf numFmtId="0" fontId="12" fillId="20" borderId="39"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20" borderId="38"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47" fillId="19" borderId="40" xfId="0" applyFont="1" applyFill="1" applyBorder="1" applyAlignment="1">
      <alignment horizontal="center" vertical="center"/>
    </xf>
    <xf numFmtId="0" fontId="47" fillId="19" borderId="41" xfId="0" applyFont="1" applyFill="1" applyBorder="1" applyAlignment="1">
      <alignment horizontal="center" vertical="center"/>
    </xf>
    <xf numFmtId="0" fontId="47" fillId="19" borderId="42" xfId="0" applyFont="1" applyFill="1" applyBorder="1" applyAlignment="1">
      <alignment horizontal="center" vertical="center"/>
    </xf>
    <xf numFmtId="0" fontId="12" fillId="20" borderId="11"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5" xfId="22" applyFont="1" applyFill="1" applyBorder="1" applyAlignment="1">
      <alignment horizontal="left" vertical="center" wrapText="1"/>
    </xf>
    <xf numFmtId="15" fontId="37" fillId="19" borderId="39" xfId="0" applyNumberFormat="1" applyFont="1" applyFill="1" applyBorder="1" applyAlignment="1">
      <alignment horizontal="center" vertical="center"/>
    </xf>
    <xf numFmtId="0" fontId="37" fillId="19" borderId="12" xfId="0" applyFont="1" applyFill="1" applyBorder="1" applyAlignment="1">
      <alignment horizontal="center" vertical="center"/>
    </xf>
    <xf numFmtId="0" fontId="37" fillId="19" borderId="13" xfId="0" applyFont="1" applyFill="1" applyBorder="1" applyAlignment="1">
      <alignment horizontal="center" vertical="center"/>
    </xf>
    <xf numFmtId="0" fontId="37" fillId="19" borderId="14" xfId="0" applyFont="1" applyFill="1" applyBorder="1" applyAlignment="1">
      <alignment horizontal="center" vertical="center"/>
    </xf>
    <xf numFmtId="0" fontId="37" fillId="19" borderId="38" xfId="0" applyFont="1" applyFill="1" applyBorder="1" applyAlignment="1">
      <alignment horizontal="center" vertical="center"/>
    </xf>
    <xf numFmtId="0" fontId="37" fillId="19" borderId="16" xfId="0" applyFont="1" applyFill="1" applyBorder="1" applyAlignment="1">
      <alignment horizontal="center" vertical="center"/>
    </xf>
    <xf numFmtId="0" fontId="33" fillId="0" borderId="47" xfId="0" applyFont="1" applyBorder="1" applyAlignment="1">
      <alignment horizontal="center" vertical="center"/>
    </xf>
    <xf numFmtId="0" fontId="33" fillId="0" borderId="48" xfId="0" applyFont="1" applyBorder="1" applyAlignment="1">
      <alignment horizontal="center" vertical="center"/>
    </xf>
    <xf numFmtId="0" fontId="33" fillId="0" borderId="49" xfId="0" applyFont="1" applyBorder="1" applyAlignment="1">
      <alignment horizontal="center" vertical="center" wrapText="1"/>
    </xf>
    <xf numFmtId="0" fontId="33" fillId="0" borderId="26" xfId="0" applyFont="1" applyBorder="1" applyAlignment="1">
      <alignment horizontal="center" vertical="center" wrapText="1"/>
    </xf>
    <xf numFmtId="0" fontId="31" fillId="0" borderId="49" xfId="0" applyFont="1" applyBorder="1" applyAlignment="1">
      <alignment horizontal="center" vertical="center"/>
    </xf>
    <xf numFmtId="0" fontId="31" fillId="0" borderId="26" xfId="0" applyFont="1" applyBorder="1" applyAlignment="1">
      <alignment horizontal="center" vertical="center"/>
    </xf>
    <xf numFmtId="0" fontId="33" fillId="0" borderId="50" xfId="0" applyFont="1" applyBorder="1" applyAlignment="1">
      <alignment horizontal="center" vertical="center" wrapText="1"/>
    </xf>
    <xf numFmtId="0" fontId="33" fillId="0" borderId="51" xfId="0" applyFont="1" applyBorder="1" applyAlignment="1">
      <alignment horizontal="center" vertical="center" wrapText="1"/>
    </xf>
    <xf numFmtId="0" fontId="31" fillId="0" borderId="50" xfId="0" applyFont="1" applyBorder="1" applyAlignment="1">
      <alignment horizontal="center" vertical="center"/>
    </xf>
    <xf numFmtId="0" fontId="31" fillId="0" borderId="51" xfId="0" applyFont="1" applyBorder="1" applyAlignment="1">
      <alignment horizontal="center" vertical="center"/>
    </xf>
    <xf numFmtId="0" fontId="33" fillId="0" borderId="47" xfId="0" applyFont="1" applyBorder="1" applyAlignment="1">
      <alignment horizontal="center" vertical="center" wrapText="1"/>
    </xf>
    <xf numFmtId="0" fontId="33" fillId="0" borderId="48" xfId="0" applyFont="1" applyBorder="1" applyAlignment="1">
      <alignment horizontal="center" vertical="center" wrapText="1"/>
    </xf>
    <xf numFmtId="9" fontId="44" fillId="0" borderId="85" xfId="0" applyNumberFormat="1" applyFont="1" applyBorder="1" applyAlignment="1">
      <alignment horizontal="center" vertical="center" wrapText="1"/>
    </xf>
    <xf numFmtId="9" fontId="44" fillId="0" borderId="77" xfId="0" applyNumberFormat="1" applyFont="1" applyBorder="1" applyAlignment="1">
      <alignment horizontal="center" vertical="center" wrapText="1"/>
    </xf>
    <xf numFmtId="9" fontId="35" fillId="19" borderId="54" xfId="22" applyNumberFormat="1" applyFont="1" applyFill="1" applyBorder="1" applyAlignment="1">
      <alignment horizontal="justify" vertical="center" wrapText="1"/>
    </xf>
    <xf numFmtId="9" fontId="11" fillId="19" borderId="22" xfId="22" applyNumberFormat="1" applyFont="1" applyFill="1" applyBorder="1" applyAlignment="1">
      <alignment horizontal="justify" vertical="center" wrapText="1"/>
    </xf>
    <xf numFmtId="9" fontId="11" fillId="19" borderId="60" xfId="22" applyNumberFormat="1" applyFont="1" applyFill="1" applyBorder="1" applyAlignment="1">
      <alignment horizontal="justify" vertical="center" wrapText="1"/>
    </xf>
    <xf numFmtId="9" fontId="11" fillId="19" borderId="64" xfId="22" applyNumberFormat="1" applyFont="1" applyFill="1" applyBorder="1" applyAlignment="1">
      <alignment horizontal="justify" vertical="center" wrapText="1"/>
    </xf>
    <xf numFmtId="9" fontId="11" fillId="19" borderId="0" xfId="22" applyNumberFormat="1" applyFont="1" applyFill="1" applyAlignment="1">
      <alignment horizontal="justify" vertical="center" wrapText="1"/>
    </xf>
    <xf numFmtId="9" fontId="11" fillId="19" borderId="14" xfId="22" applyNumberFormat="1" applyFont="1" applyFill="1" applyBorder="1" applyAlignment="1">
      <alignment horizontal="justify" vertical="center" wrapText="1"/>
    </xf>
    <xf numFmtId="9" fontId="4" fillId="0" borderId="1" xfId="0" applyNumberFormat="1" applyFont="1" applyBorder="1" applyAlignment="1">
      <alignment horizontal="center" vertical="center" wrapText="1"/>
    </xf>
    <xf numFmtId="9" fontId="4" fillId="0" borderId="19" xfId="0" applyNumberFormat="1" applyFont="1" applyBorder="1" applyAlignment="1">
      <alignment horizontal="center" vertical="center" wrapText="1"/>
    </xf>
    <xf numFmtId="2" fontId="11" fillId="0" borderId="18" xfId="22" applyNumberFormat="1" applyFont="1" applyBorder="1" applyAlignment="1">
      <alignment horizontal="justify" vertical="center" wrapText="1"/>
    </xf>
    <xf numFmtId="2" fontId="35" fillId="0" borderId="18" xfId="22" applyNumberFormat="1" applyFont="1" applyBorder="1" applyAlignment="1">
      <alignment horizontal="justify" vertical="center" wrapText="1"/>
    </xf>
    <xf numFmtId="0" fontId="35" fillId="0" borderId="56" xfId="0" applyFont="1" applyBorder="1" applyAlignment="1">
      <alignment horizontal="justify" vertical="center" wrapText="1"/>
    </xf>
    <xf numFmtId="9" fontId="35" fillId="19" borderId="22" xfId="22" applyNumberFormat="1" applyFont="1" applyFill="1" applyBorder="1" applyAlignment="1">
      <alignment horizontal="justify" vertical="center" wrapText="1"/>
    </xf>
    <xf numFmtId="9" fontId="35" fillId="19" borderId="60" xfId="22" applyNumberFormat="1" applyFont="1" applyFill="1" applyBorder="1" applyAlignment="1">
      <alignment horizontal="justify" vertical="center" wrapText="1"/>
    </xf>
    <xf numFmtId="9" fontId="35" fillId="19" borderId="58" xfId="22" applyNumberFormat="1" applyFont="1" applyFill="1" applyBorder="1" applyAlignment="1">
      <alignment horizontal="justify" vertical="center" wrapText="1"/>
    </xf>
    <xf numFmtId="9" fontId="35" fillId="19" borderId="15" xfId="22" applyNumberFormat="1" applyFont="1" applyFill="1" applyBorder="1" applyAlignment="1">
      <alignment horizontal="justify" vertical="center" wrapText="1"/>
    </xf>
    <xf numFmtId="9" fontId="35" fillId="19" borderId="16" xfId="22" applyNumberFormat="1" applyFont="1" applyFill="1" applyBorder="1" applyAlignment="1">
      <alignment horizontal="justify" vertical="center" wrapText="1"/>
    </xf>
    <xf numFmtId="9" fontId="11" fillId="0" borderId="4" xfId="22" applyNumberFormat="1" applyFont="1" applyBorder="1" applyAlignment="1">
      <alignment horizontal="center" vertical="center" wrapText="1"/>
    </xf>
    <xf numFmtId="9" fontId="35" fillId="19" borderId="54" xfId="22" applyNumberFormat="1" applyFont="1" applyFill="1" applyBorder="1" applyAlignment="1">
      <alignment horizontal="justify" vertical="top" wrapText="1"/>
    </xf>
    <xf numFmtId="9" fontId="11" fillId="19" borderId="22" xfId="22" applyNumberFormat="1" applyFont="1" applyFill="1" applyBorder="1" applyAlignment="1">
      <alignment horizontal="justify" vertical="top" wrapText="1"/>
    </xf>
    <xf numFmtId="9" fontId="11" fillId="19" borderId="60" xfId="22" applyNumberFormat="1" applyFont="1" applyFill="1" applyBorder="1" applyAlignment="1">
      <alignment horizontal="justify" vertical="top" wrapText="1"/>
    </xf>
    <xf numFmtId="9" fontId="11" fillId="19" borderId="64" xfId="22" applyNumberFormat="1" applyFont="1" applyFill="1" applyBorder="1" applyAlignment="1">
      <alignment horizontal="justify" vertical="top" wrapText="1"/>
    </xf>
    <xf numFmtId="9" fontId="11" fillId="19" borderId="0" xfId="22" applyNumberFormat="1" applyFont="1" applyFill="1" applyAlignment="1">
      <alignment horizontal="justify" vertical="top" wrapText="1"/>
    </xf>
    <xf numFmtId="9" fontId="11" fillId="19" borderId="14" xfId="22" applyNumberFormat="1" applyFont="1" applyFill="1" applyBorder="1" applyAlignment="1">
      <alignment horizontal="justify" vertical="top" wrapText="1"/>
    </xf>
    <xf numFmtId="9" fontId="11" fillId="19" borderId="54" xfId="22" applyNumberFormat="1" applyFont="1" applyFill="1" applyBorder="1" applyAlignment="1">
      <alignment horizontal="justify" vertical="center" wrapText="1"/>
    </xf>
    <xf numFmtId="0" fontId="12" fillId="0" borderId="8" xfId="22" applyFont="1" applyBorder="1" applyAlignment="1">
      <alignment horizontal="center" vertical="center" wrapText="1"/>
    </xf>
    <xf numFmtId="3" fontId="12" fillId="0" borderId="54"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0" fontId="11" fillId="0" borderId="35" xfId="22" applyFont="1" applyBorder="1" applyAlignment="1">
      <alignment horizontal="left" vertical="center" wrapText="1"/>
    </xf>
    <xf numFmtId="0" fontId="11" fillId="0" borderId="36" xfId="22" applyFont="1" applyBorder="1" applyAlignment="1">
      <alignment horizontal="left" vertical="center" wrapText="1"/>
    </xf>
    <xf numFmtId="0" fontId="11" fillId="0" borderId="37" xfId="22" applyFont="1" applyBorder="1" applyAlignment="1">
      <alignment horizontal="left" vertical="center" wrapText="1"/>
    </xf>
    <xf numFmtId="0" fontId="15" fillId="0" borderId="35" xfId="22" applyFont="1" applyBorder="1" applyAlignment="1">
      <alignment horizontal="left" vertical="center" wrapText="1"/>
    </xf>
    <xf numFmtId="0" fontId="15" fillId="0" borderId="36" xfId="22" applyFont="1" applyBorder="1" applyAlignment="1">
      <alignment horizontal="left" vertical="center" wrapText="1"/>
    </xf>
    <xf numFmtId="0" fontId="15" fillId="0" borderId="37" xfId="22" applyFont="1" applyBorder="1" applyAlignment="1">
      <alignment horizontal="left" vertical="center" wrapText="1"/>
    </xf>
    <xf numFmtId="0" fontId="12" fillId="0" borderId="39" xfId="22" applyFont="1" applyBorder="1" applyAlignment="1">
      <alignment horizontal="left" vertical="center" wrapText="1"/>
    </xf>
    <xf numFmtId="0" fontId="12" fillId="0" borderId="11" xfId="22" applyFont="1" applyBorder="1" applyAlignment="1">
      <alignment horizontal="left" vertical="center" wrapText="1"/>
    </xf>
    <xf numFmtId="0" fontId="12" fillId="0" borderId="12" xfId="22" applyFont="1" applyBorder="1" applyAlignment="1">
      <alignment horizontal="left" vertical="center" wrapText="1"/>
    </xf>
    <xf numFmtId="0" fontId="12" fillId="0" borderId="13" xfId="22" applyFont="1" applyBorder="1" applyAlignment="1">
      <alignment horizontal="left" vertical="center" wrapText="1"/>
    </xf>
    <xf numFmtId="0" fontId="12" fillId="0" borderId="0" xfId="22" applyFont="1" applyAlignment="1">
      <alignment horizontal="left" vertical="center" wrapText="1"/>
    </xf>
    <xf numFmtId="0" fontId="12" fillId="0" borderId="14" xfId="22" applyFont="1" applyBorder="1" applyAlignment="1">
      <alignment horizontal="left" vertical="center" wrapText="1"/>
    </xf>
    <xf numFmtId="0" fontId="12" fillId="0" borderId="38" xfId="22" applyFont="1" applyBorder="1" applyAlignment="1">
      <alignment horizontal="left" vertical="center" wrapText="1"/>
    </xf>
    <xf numFmtId="0" fontId="12" fillId="0" borderId="15" xfId="22" applyFont="1" applyBorder="1" applyAlignment="1">
      <alignment horizontal="left" vertical="center" wrapText="1"/>
    </xf>
    <xf numFmtId="0" fontId="12" fillId="0" borderId="16" xfId="22" applyFont="1" applyBorder="1" applyAlignment="1">
      <alignment horizontal="left" vertical="center" wrapText="1"/>
    </xf>
    <xf numFmtId="2" fontId="11" fillId="0" borderId="52" xfId="22" applyNumberFormat="1" applyFont="1" applyBorder="1" applyAlignment="1">
      <alignment vertical="center" wrapText="1"/>
    </xf>
    <xf numFmtId="2" fontId="11" fillId="0" borderId="8" xfId="22" applyNumberFormat="1" applyFont="1" applyBorder="1" applyAlignment="1">
      <alignment vertical="center" wrapText="1"/>
    </xf>
    <xf numFmtId="9" fontId="11" fillId="0" borderId="61" xfId="22" applyNumberFormat="1" applyFont="1" applyBorder="1" applyAlignment="1">
      <alignment horizontal="center" vertical="center" wrapText="1"/>
    </xf>
    <xf numFmtId="2" fontId="11" fillId="0" borderId="18" xfId="22" applyNumberFormat="1" applyFont="1" applyBorder="1" applyAlignment="1">
      <alignment vertical="center" wrapText="1"/>
    </xf>
    <xf numFmtId="0" fontId="31" fillId="0" borderId="56" xfId="0" applyFont="1" applyBorder="1" applyAlignment="1">
      <alignment vertical="center" wrapText="1"/>
    </xf>
    <xf numFmtId="9" fontId="11" fillId="0" borderId="63" xfId="22" applyNumberFormat="1" applyFont="1" applyBorder="1" applyAlignment="1">
      <alignment horizontal="center" vertical="center" wrapText="1"/>
    </xf>
    <xf numFmtId="9" fontId="11" fillId="0" borderId="57" xfId="22" applyNumberFormat="1" applyFont="1" applyBorder="1" applyAlignment="1">
      <alignment horizontal="center" vertical="center" wrapText="1"/>
    </xf>
    <xf numFmtId="9" fontId="11" fillId="19" borderId="58" xfId="22" applyNumberFormat="1" applyFont="1" applyFill="1" applyBorder="1" applyAlignment="1">
      <alignment horizontal="left" vertical="center" wrapText="1"/>
    </xf>
    <xf numFmtId="9" fontId="11" fillId="19" borderId="15" xfId="22" applyNumberFormat="1" applyFont="1" applyFill="1" applyBorder="1" applyAlignment="1">
      <alignment horizontal="left" vertical="center" wrapText="1"/>
    </xf>
    <xf numFmtId="9" fontId="11" fillId="19" borderId="16" xfId="22" applyNumberFormat="1" applyFont="1" applyFill="1" applyBorder="1" applyAlignment="1">
      <alignment horizontal="left" vertical="center" wrapText="1"/>
    </xf>
    <xf numFmtId="0" fontId="35" fillId="19" borderId="89" xfId="0" applyFont="1" applyFill="1" applyBorder="1" applyAlignment="1">
      <alignment horizontal="left" vertical="top" wrapText="1"/>
    </xf>
    <xf numFmtId="0" fontId="11" fillId="19" borderId="11" xfId="0" applyFont="1" applyFill="1" applyBorder="1" applyAlignment="1">
      <alignment horizontal="left" vertical="top" wrapText="1"/>
    </xf>
    <xf numFmtId="0" fontId="11" fillId="19" borderId="12" xfId="0" applyFont="1" applyFill="1" applyBorder="1" applyAlignment="1">
      <alignment horizontal="left" vertical="top" wrapText="1"/>
    </xf>
    <xf numFmtId="0" fontId="11" fillId="19" borderId="20" xfId="0" applyFont="1" applyFill="1" applyBorder="1" applyAlignment="1">
      <alignment horizontal="left" vertical="top" wrapText="1"/>
    </xf>
    <xf numFmtId="0" fontId="11" fillId="19" borderId="3" xfId="0" applyFont="1" applyFill="1" applyBorder="1" applyAlignment="1">
      <alignment horizontal="left" vertical="top" wrapText="1"/>
    </xf>
    <xf numFmtId="0" fontId="11" fillId="19" borderId="7" xfId="0" applyFont="1" applyFill="1" applyBorder="1" applyAlignment="1">
      <alignment horizontal="left" vertical="top" wrapText="1"/>
    </xf>
    <xf numFmtId="0" fontId="12" fillId="20" borderId="63" xfId="22" applyFont="1" applyFill="1" applyBorder="1" applyAlignment="1">
      <alignment horizontal="center" vertical="center" wrapText="1"/>
    </xf>
    <xf numFmtId="0" fontId="12" fillId="20" borderId="22" xfId="22" applyFont="1" applyFill="1" applyBorder="1" applyAlignment="1">
      <alignment horizontal="center" vertical="center" wrapText="1"/>
    </xf>
    <xf numFmtId="0" fontId="12" fillId="20" borderId="60" xfId="22" applyFont="1" applyFill="1" applyBorder="1" applyAlignment="1">
      <alignment horizontal="center" vertical="center" wrapText="1"/>
    </xf>
    <xf numFmtId="0" fontId="11" fillId="19" borderId="54" xfId="0" applyFont="1" applyFill="1" applyBorder="1" applyAlignment="1">
      <alignment horizontal="justify" vertical="center" wrapText="1"/>
    </xf>
    <xf numFmtId="0" fontId="11" fillId="19" borderId="22" xfId="0" applyFont="1" applyFill="1" applyBorder="1" applyAlignment="1">
      <alignment horizontal="justify" vertical="center" wrapText="1"/>
    </xf>
    <xf numFmtId="0" fontId="11" fillId="19" borderId="23" xfId="0" applyFont="1" applyFill="1" applyBorder="1" applyAlignment="1">
      <alignment horizontal="justify" vertical="center" wrapText="1"/>
    </xf>
    <xf numFmtId="0" fontId="11" fillId="19" borderId="58" xfId="0" applyFont="1" applyFill="1" applyBorder="1" applyAlignment="1">
      <alignment horizontal="justify" vertical="center" wrapText="1"/>
    </xf>
    <xf numFmtId="0" fontId="11" fillId="19" borderId="15" xfId="0" applyFont="1" applyFill="1" applyBorder="1" applyAlignment="1">
      <alignment horizontal="justify" vertical="center" wrapText="1"/>
    </xf>
    <xf numFmtId="0" fontId="11" fillId="19" borderId="59" xfId="0" applyFont="1" applyFill="1" applyBorder="1" applyAlignment="1">
      <alignment horizontal="justify" vertical="center" wrapText="1"/>
    </xf>
    <xf numFmtId="0" fontId="11" fillId="19" borderId="60" xfId="0" applyFont="1" applyFill="1" applyBorder="1" applyAlignment="1">
      <alignment horizontal="justify" vertical="center" wrapText="1"/>
    </xf>
    <xf numFmtId="0" fontId="11" fillId="19" borderId="16" xfId="0" applyFont="1" applyFill="1" applyBorder="1" applyAlignment="1">
      <alignment horizontal="justify" vertical="center" wrapText="1"/>
    </xf>
    <xf numFmtId="0" fontId="12" fillId="0" borderId="35" xfId="22" applyFont="1" applyBorder="1" applyAlignment="1">
      <alignment horizontal="left" vertical="center" wrapText="1"/>
    </xf>
    <xf numFmtId="0" fontId="12" fillId="0" borderId="36" xfId="22" applyFont="1" applyBorder="1" applyAlignment="1">
      <alignment horizontal="left" vertical="center" wrapText="1"/>
    </xf>
    <xf numFmtId="0" fontId="12" fillId="0" borderId="37" xfId="22" applyFont="1" applyBorder="1" applyAlignment="1">
      <alignment horizontal="left" vertical="center" wrapText="1"/>
    </xf>
    <xf numFmtId="173" fontId="12" fillId="0" borderId="35" xfId="28" applyNumberFormat="1" applyFont="1" applyFill="1" applyBorder="1" applyAlignment="1" applyProtection="1">
      <alignment horizontal="center" vertical="center" wrapText="1"/>
    </xf>
    <xf numFmtId="173" fontId="12" fillId="0" borderId="37" xfId="28" applyNumberFormat="1" applyFont="1" applyFill="1" applyBorder="1" applyAlignment="1" applyProtection="1">
      <alignment horizontal="center" vertical="center" wrapText="1"/>
    </xf>
    <xf numFmtId="0" fontId="12" fillId="0" borderId="27" xfId="22" applyFont="1" applyBorder="1" applyAlignment="1">
      <alignment horizontal="left" vertical="center" wrapText="1"/>
    </xf>
    <xf numFmtId="0" fontId="12" fillId="0" borderId="28" xfId="22" applyFont="1" applyBorder="1" applyAlignment="1">
      <alignment horizontal="left" vertical="center" wrapText="1"/>
    </xf>
    <xf numFmtId="0" fontId="12" fillId="0" borderId="29" xfId="22" applyFont="1" applyBorder="1" applyAlignment="1">
      <alignment horizontal="left" vertical="center" wrapText="1"/>
    </xf>
    <xf numFmtId="9" fontId="31" fillId="19" borderId="54" xfId="22" applyNumberFormat="1" applyFont="1" applyFill="1" applyBorder="1" applyAlignment="1">
      <alignment horizontal="justify" vertical="center" wrapText="1"/>
    </xf>
    <xf numFmtId="9" fontId="31" fillId="19" borderId="22" xfId="22" applyNumberFormat="1" applyFont="1" applyFill="1" applyBorder="1" applyAlignment="1">
      <alignment horizontal="justify" vertical="center" wrapText="1"/>
    </xf>
    <xf numFmtId="9" fontId="31" fillId="19" borderId="60" xfId="22" applyNumberFormat="1" applyFont="1" applyFill="1" applyBorder="1" applyAlignment="1">
      <alignment horizontal="justify" vertical="center" wrapText="1"/>
    </xf>
    <xf numFmtId="9" fontId="31" fillId="19" borderId="64" xfId="22" applyNumberFormat="1" applyFont="1" applyFill="1" applyBorder="1" applyAlignment="1">
      <alignment horizontal="justify" vertical="center" wrapText="1"/>
    </xf>
    <xf numFmtId="9" fontId="31" fillId="19" borderId="0" xfId="22" applyNumberFormat="1" applyFont="1" applyFill="1" applyAlignment="1">
      <alignment horizontal="justify" vertical="center" wrapText="1"/>
    </xf>
    <xf numFmtId="9" fontId="31" fillId="19" borderId="14" xfId="22" applyNumberFormat="1" applyFont="1" applyFill="1" applyBorder="1" applyAlignment="1">
      <alignment horizontal="justify" vertical="center" wrapText="1"/>
    </xf>
    <xf numFmtId="0" fontId="31" fillId="0" borderId="56" xfId="0" applyFont="1" applyBorder="1" applyAlignment="1">
      <alignment horizontal="justify" vertical="center" wrapText="1"/>
    </xf>
    <xf numFmtId="9" fontId="11" fillId="0" borderId="19" xfId="22" applyNumberFormat="1" applyFont="1" applyBorder="1" applyAlignment="1">
      <alignment horizontal="center" vertical="center" wrapText="1"/>
    </xf>
    <xf numFmtId="9" fontId="31" fillId="19" borderId="58" xfId="22" applyNumberFormat="1" applyFont="1" applyFill="1" applyBorder="1" applyAlignment="1">
      <alignment horizontal="justify" vertical="center" wrapText="1"/>
    </xf>
    <xf numFmtId="9" fontId="31" fillId="19" borderId="15" xfId="22" applyNumberFormat="1" applyFont="1" applyFill="1" applyBorder="1" applyAlignment="1">
      <alignment horizontal="justify" vertical="center" wrapText="1"/>
    </xf>
    <xf numFmtId="9" fontId="31" fillId="19" borderId="16" xfId="22" applyNumberFormat="1" applyFont="1" applyFill="1" applyBorder="1" applyAlignment="1">
      <alignment horizontal="justify" vertical="center" wrapText="1"/>
    </xf>
    <xf numFmtId="2" fontId="31" fillId="0" borderId="18" xfId="22" applyNumberFormat="1" applyFont="1" applyBorder="1" applyAlignment="1">
      <alignment horizontal="justify" vertical="center" wrapText="1"/>
    </xf>
    <xf numFmtId="2" fontId="31" fillId="0" borderId="32" xfId="22" applyNumberFormat="1" applyFont="1" applyBorder="1" applyAlignment="1">
      <alignment horizontal="justify" vertical="center" wrapText="1"/>
    </xf>
    <xf numFmtId="9" fontId="11" fillId="0" borderId="10" xfId="22" applyNumberFormat="1" applyFont="1" applyBorder="1" applyAlignment="1">
      <alignment horizontal="center" vertical="center" wrapText="1"/>
    </xf>
    <xf numFmtId="9" fontId="31" fillId="19" borderId="1" xfId="22" applyNumberFormat="1" applyFont="1" applyFill="1" applyBorder="1" applyAlignment="1">
      <alignment horizontal="justify" vertical="center" wrapText="1"/>
    </xf>
    <xf numFmtId="9" fontId="32" fillId="19" borderId="1" xfId="22" applyNumberFormat="1" applyFont="1" applyFill="1" applyBorder="1" applyAlignment="1">
      <alignment horizontal="justify" vertical="center" wrapText="1"/>
    </xf>
    <xf numFmtId="9" fontId="32" fillId="19" borderId="9" xfId="22" applyNumberFormat="1" applyFont="1" applyFill="1" applyBorder="1" applyAlignment="1">
      <alignment horizontal="justify" vertical="center" wrapText="1"/>
    </xf>
    <xf numFmtId="9" fontId="32" fillId="19" borderId="19" xfId="22" applyNumberFormat="1" applyFont="1" applyFill="1" applyBorder="1" applyAlignment="1">
      <alignment horizontal="justify" vertical="center" wrapText="1"/>
    </xf>
    <xf numFmtId="9" fontId="32" fillId="19" borderId="33" xfId="22" applyNumberFormat="1" applyFont="1" applyFill="1" applyBorder="1" applyAlignment="1">
      <alignment horizontal="justify" vertical="center" wrapText="1"/>
    </xf>
    <xf numFmtId="0" fontId="11" fillId="0" borderId="18" xfId="22" applyFont="1" applyBorder="1" applyAlignment="1">
      <alignment horizontal="justify" vertical="center" wrapText="1"/>
    </xf>
    <xf numFmtId="0" fontId="11" fillId="0" borderId="56" xfId="22" applyFont="1" applyBorder="1" applyAlignment="1">
      <alignment horizontal="justify" vertical="center" wrapText="1"/>
    </xf>
    <xf numFmtId="9" fontId="31" fillId="0" borderId="54" xfId="22" applyNumberFormat="1" applyFont="1" applyBorder="1" applyAlignment="1">
      <alignment horizontal="justify" vertical="center" wrapText="1"/>
    </xf>
    <xf numFmtId="9" fontId="31" fillId="0" borderId="22" xfId="22" applyNumberFormat="1" applyFont="1" applyBorder="1" applyAlignment="1">
      <alignment horizontal="justify" vertical="center" wrapText="1"/>
    </xf>
    <xf numFmtId="9" fontId="31" fillId="0" borderId="23" xfId="22" applyNumberFormat="1" applyFont="1" applyBorder="1" applyAlignment="1">
      <alignment horizontal="justify" vertical="center" wrapText="1"/>
    </xf>
    <xf numFmtId="9" fontId="31" fillId="0" borderId="58" xfId="22" applyNumberFormat="1" applyFont="1" applyBorder="1" applyAlignment="1">
      <alignment horizontal="justify" vertical="center" wrapText="1"/>
    </xf>
    <xf numFmtId="9" fontId="31" fillId="0" borderId="15" xfId="22" applyNumberFormat="1" applyFont="1" applyBorder="1" applyAlignment="1">
      <alignment horizontal="justify" vertical="center" wrapText="1"/>
    </xf>
    <xf numFmtId="9" fontId="31" fillId="0" borderId="59" xfId="22" applyNumberFormat="1" applyFont="1" applyBorder="1" applyAlignment="1">
      <alignment horizontal="justify" vertical="center" wrapText="1"/>
    </xf>
    <xf numFmtId="0" fontId="11" fillId="19" borderId="35" xfId="22" applyFont="1" applyFill="1" applyBorder="1" applyAlignment="1">
      <alignment horizontal="left" vertical="center" wrapText="1"/>
    </xf>
    <xf numFmtId="0" fontId="11" fillId="19" borderId="36" xfId="22" applyFont="1" applyFill="1" applyBorder="1" applyAlignment="1">
      <alignment horizontal="left" vertical="center" wrapText="1"/>
    </xf>
    <xf numFmtId="0" fontId="11" fillId="19" borderId="37" xfId="22" applyFont="1" applyFill="1" applyBorder="1" applyAlignment="1">
      <alignment horizontal="left" vertical="center" wrapText="1"/>
    </xf>
    <xf numFmtId="10" fontId="11" fillId="0" borderId="1" xfId="22" applyNumberFormat="1" applyFont="1" applyBorder="1" applyAlignment="1">
      <alignment horizontal="center" vertical="center" wrapText="1"/>
    </xf>
    <xf numFmtId="9" fontId="11" fillId="19" borderId="1" xfId="22" applyNumberFormat="1" applyFont="1" applyFill="1" applyBorder="1" applyAlignment="1">
      <alignment vertical="center" wrapText="1"/>
    </xf>
    <xf numFmtId="9" fontId="11" fillId="19" borderId="9" xfId="22" applyNumberFormat="1" applyFont="1" applyFill="1" applyBorder="1" applyAlignment="1">
      <alignment vertical="center" wrapText="1"/>
    </xf>
    <xf numFmtId="2" fontId="11" fillId="19" borderId="8" xfId="22" applyNumberFormat="1" applyFont="1" applyFill="1" applyBorder="1" applyAlignment="1">
      <alignment horizontal="justify" vertical="center" wrapText="1"/>
    </xf>
    <xf numFmtId="2" fontId="11" fillId="19" borderId="31" xfId="22" applyNumberFormat="1" applyFont="1" applyFill="1" applyBorder="1" applyAlignment="1">
      <alignment horizontal="justify" vertical="center" wrapText="1"/>
    </xf>
    <xf numFmtId="10" fontId="11" fillId="0" borderId="19" xfId="22" applyNumberFormat="1" applyFont="1" applyBorder="1" applyAlignment="1">
      <alignment horizontal="center" vertical="center" wrapText="1"/>
    </xf>
    <xf numFmtId="9" fontId="11" fillId="19" borderId="19" xfId="22" applyNumberFormat="1" applyFont="1" applyFill="1" applyBorder="1" applyAlignment="1">
      <alignment vertical="center" wrapText="1"/>
    </xf>
    <xf numFmtId="9" fontId="11" fillId="19" borderId="33" xfId="22" applyNumberFormat="1" applyFont="1" applyFill="1" applyBorder="1" applyAlignment="1">
      <alignment vertical="center" wrapText="1"/>
    </xf>
    <xf numFmtId="0" fontId="31" fillId="0" borderId="8" xfId="0" applyFont="1" applyBorder="1" applyAlignment="1">
      <alignment horizontal="justify" vertical="center" wrapText="1"/>
    </xf>
    <xf numFmtId="9" fontId="11" fillId="19" borderId="1" xfId="22" applyNumberFormat="1" applyFont="1" applyFill="1" applyBorder="1" applyAlignment="1">
      <alignment horizontal="justify" vertical="center" wrapText="1"/>
    </xf>
    <xf numFmtId="9" fontId="11" fillId="19" borderId="9" xfId="22" applyNumberFormat="1" applyFont="1" applyFill="1" applyBorder="1" applyAlignment="1">
      <alignment horizontal="justify" vertical="center" wrapText="1"/>
    </xf>
    <xf numFmtId="0" fontId="11" fillId="0" borderId="88" xfId="22" applyFont="1" applyBorder="1" applyAlignment="1">
      <alignment horizontal="justify" vertical="center" wrapText="1"/>
    </xf>
    <xf numFmtId="9" fontId="12" fillId="0" borderId="63" xfId="22" applyNumberFormat="1" applyFont="1" applyBorder="1" applyAlignment="1">
      <alignment horizontal="center" vertical="center" wrapText="1"/>
    </xf>
    <xf numFmtId="9" fontId="11" fillId="19" borderId="54" xfId="30" applyFont="1" applyFill="1" applyBorder="1" applyAlignment="1" applyProtection="1">
      <alignment horizontal="left" vertical="center" wrapText="1"/>
    </xf>
    <xf numFmtId="9" fontId="11" fillId="19" borderId="22" xfId="30" applyFont="1" applyFill="1" applyBorder="1" applyAlignment="1" applyProtection="1">
      <alignment horizontal="left" vertical="center" wrapText="1"/>
    </xf>
    <xf numFmtId="9" fontId="11" fillId="19" borderId="23" xfId="30" applyFont="1" applyFill="1" applyBorder="1" applyAlignment="1" applyProtection="1">
      <alignment horizontal="left" vertical="center" wrapText="1"/>
    </xf>
    <xf numFmtId="9" fontId="11" fillId="19" borderId="64" xfId="30" applyFont="1" applyFill="1" applyBorder="1" applyAlignment="1" applyProtection="1">
      <alignment horizontal="left" vertical="center" wrapText="1"/>
    </xf>
    <xf numFmtId="9" fontId="11" fillId="19" borderId="0" xfId="30" applyFont="1" applyFill="1" applyBorder="1" applyAlignment="1" applyProtection="1">
      <alignment horizontal="left" vertical="center" wrapText="1"/>
    </xf>
    <xf numFmtId="9" fontId="11" fillId="19" borderId="24" xfId="30" applyFont="1" applyFill="1" applyBorder="1" applyAlignment="1" applyProtection="1">
      <alignment horizontal="left" vertical="center" wrapText="1"/>
    </xf>
    <xf numFmtId="9" fontId="11" fillId="19" borderId="64" xfId="30" applyFont="1" applyFill="1" applyBorder="1" applyAlignment="1" applyProtection="1">
      <alignment horizontal="justify" vertical="center" wrapText="1"/>
    </xf>
    <xf numFmtId="9" fontId="11" fillId="19" borderId="0" xfId="30" applyFont="1" applyFill="1" applyBorder="1" applyAlignment="1" applyProtection="1">
      <alignment horizontal="justify" vertical="center" wrapText="1"/>
    </xf>
    <xf numFmtId="9" fontId="11" fillId="19" borderId="24" xfId="30" applyFont="1" applyFill="1" applyBorder="1" applyAlignment="1" applyProtection="1">
      <alignment horizontal="justify" vertical="center" wrapText="1"/>
    </xf>
    <xf numFmtId="9" fontId="11" fillId="19" borderId="54" xfId="30" applyFont="1" applyFill="1" applyBorder="1" applyAlignment="1" applyProtection="1">
      <alignment horizontal="justify" vertical="top" wrapText="1"/>
    </xf>
    <xf numFmtId="9" fontId="11" fillId="19" borderId="22" xfId="30" applyFont="1" applyFill="1" applyBorder="1" applyAlignment="1" applyProtection="1">
      <alignment horizontal="justify" vertical="top" wrapText="1"/>
    </xf>
    <xf numFmtId="9" fontId="11" fillId="19" borderId="23" xfId="30" applyFont="1" applyFill="1" applyBorder="1" applyAlignment="1" applyProtection="1">
      <alignment horizontal="justify" vertical="top" wrapText="1"/>
    </xf>
    <xf numFmtId="9" fontId="11" fillId="19" borderId="64" xfId="30" applyFont="1" applyFill="1" applyBorder="1" applyAlignment="1" applyProtection="1">
      <alignment horizontal="justify" vertical="top" wrapText="1"/>
    </xf>
    <xf numFmtId="9" fontId="11" fillId="19" borderId="0" xfId="30" applyFont="1" applyFill="1" applyBorder="1" applyAlignment="1" applyProtection="1">
      <alignment horizontal="justify" vertical="top" wrapText="1"/>
    </xf>
    <xf numFmtId="9" fontId="11" fillId="19" borderId="24" xfId="30" applyFont="1" applyFill="1" applyBorder="1" applyAlignment="1" applyProtection="1">
      <alignment horizontal="justify" vertical="top" wrapText="1"/>
    </xf>
    <xf numFmtId="0" fontId="12" fillId="20" borderId="45" xfId="22" applyFont="1" applyFill="1" applyBorder="1" applyAlignment="1">
      <alignment horizontal="center" vertical="center" wrapText="1"/>
    </xf>
    <xf numFmtId="0" fontId="46" fillId="0" borderId="77" xfId="0" applyFont="1" applyBorder="1" applyAlignment="1">
      <alignment horizontal="justify" vertical="center" wrapText="1"/>
    </xf>
    <xf numFmtId="174" fontId="41" fillId="0" borderId="77" xfId="0" applyNumberFormat="1" applyFont="1" applyBorder="1" applyAlignment="1">
      <alignment vertical="center"/>
    </xf>
    <xf numFmtId="0" fontId="41" fillId="0" borderId="77" xfId="0" applyFont="1" applyBorder="1" applyAlignment="1">
      <alignment vertical="center"/>
    </xf>
    <xf numFmtId="0" fontId="41" fillId="0" borderId="86" xfId="0" applyFont="1" applyBorder="1" applyAlignment="1">
      <alignment vertical="center"/>
    </xf>
    <xf numFmtId="0" fontId="41" fillId="0" borderId="79" xfId="0" applyFont="1" applyBorder="1" applyAlignment="1">
      <alignment vertical="center"/>
    </xf>
    <xf numFmtId="9" fontId="46" fillId="0" borderId="77" xfId="0" applyNumberFormat="1" applyFont="1" applyBorder="1" applyAlignment="1">
      <alignment horizontal="justify" vertical="center" wrapText="1"/>
    </xf>
    <xf numFmtId="9" fontId="41" fillId="0" borderId="77" xfId="0" applyNumberFormat="1" applyFont="1" applyBorder="1" applyAlignment="1">
      <alignment vertical="center"/>
    </xf>
    <xf numFmtId="174" fontId="11" fillId="0" borderId="10" xfId="22" applyNumberFormat="1" applyFont="1" applyBorder="1" applyAlignment="1">
      <alignment horizontal="center" vertical="center" wrapText="1"/>
    </xf>
    <xf numFmtId="174" fontId="11" fillId="0" borderId="4" xfId="22" applyNumberFormat="1" applyFont="1" applyBorder="1" applyAlignment="1">
      <alignment horizontal="center" vertical="center" wrapText="1"/>
    </xf>
    <xf numFmtId="2" fontId="11" fillId="0" borderId="56" xfId="22" applyNumberFormat="1" applyFont="1" applyBorder="1" applyAlignment="1">
      <alignment horizontal="justify" vertical="center" wrapText="1"/>
    </xf>
    <xf numFmtId="174" fontId="11" fillId="0" borderId="57" xfId="22" applyNumberFormat="1" applyFont="1" applyBorder="1" applyAlignment="1">
      <alignment horizontal="center" vertical="center" wrapText="1"/>
    </xf>
    <xf numFmtId="9" fontId="11" fillId="19" borderId="58" xfId="22" applyNumberFormat="1" applyFont="1" applyFill="1" applyBorder="1" applyAlignment="1">
      <alignment horizontal="justify" vertical="center" wrapText="1"/>
    </xf>
    <xf numFmtId="9" fontId="11" fillId="19" borderId="15" xfId="22" applyNumberFormat="1" applyFont="1" applyFill="1" applyBorder="1" applyAlignment="1">
      <alignment horizontal="justify" vertical="center" wrapText="1"/>
    </xf>
    <xf numFmtId="9" fontId="11" fillId="19" borderId="16" xfId="22" applyNumberFormat="1" applyFont="1" applyFill="1" applyBorder="1" applyAlignment="1">
      <alignment horizontal="justify" vertical="center" wrapText="1"/>
    </xf>
    <xf numFmtId="2" fontId="12" fillId="0" borderId="52" xfId="22" applyNumberFormat="1" applyFont="1" applyBorder="1" applyAlignment="1">
      <alignment horizontal="center" vertical="center" wrapText="1"/>
    </xf>
    <xf numFmtId="2" fontId="12" fillId="0" borderId="8" xfId="22" applyNumberFormat="1" applyFont="1" applyBorder="1" applyAlignment="1">
      <alignment horizontal="center" vertical="center" wrapText="1"/>
    </xf>
    <xf numFmtId="172" fontId="12" fillId="0" borderId="54" xfId="15" applyNumberFormat="1" applyFont="1" applyBorder="1" applyAlignment="1">
      <alignment horizontal="center" vertical="center" wrapText="1"/>
    </xf>
    <xf numFmtId="172" fontId="12" fillId="0" borderId="23" xfId="15" applyNumberFormat="1" applyFont="1" applyBorder="1" applyAlignment="1">
      <alignment horizontal="center" vertical="center" wrapText="1"/>
    </xf>
    <xf numFmtId="0" fontId="11" fillId="0" borderId="39" xfId="22" applyFont="1" applyBorder="1" applyAlignment="1">
      <alignment horizontal="left" vertical="center" wrapText="1"/>
    </xf>
    <xf numFmtId="0" fontId="11" fillId="0" borderId="11" xfId="22" applyFont="1" applyBorder="1" applyAlignment="1">
      <alignment horizontal="left" vertical="center" wrapText="1"/>
    </xf>
    <xf numFmtId="0" fontId="11" fillId="0" borderId="12" xfId="22" applyFont="1" applyBorder="1" applyAlignment="1">
      <alignment horizontal="left" vertical="center" wrapText="1"/>
    </xf>
    <xf numFmtId="0" fontId="11" fillId="0" borderId="13" xfId="22" applyFont="1" applyBorder="1" applyAlignment="1">
      <alignment horizontal="left" vertical="center" wrapText="1"/>
    </xf>
    <xf numFmtId="0" fontId="11" fillId="0" borderId="0" xfId="22" applyFont="1" applyAlignment="1">
      <alignment horizontal="left" vertical="center" wrapText="1"/>
    </xf>
    <xf numFmtId="0" fontId="11" fillId="0" borderId="14" xfId="22" applyFont="1" applyBorder="1" applyAlignment="1">
      <alignment horizontal="left" vertical="center" wrapText="1"/>
    </xf>
    <xf numFmtId="0" fontId="11" fillId="0" borderId="38" xfId="22" applyFont="1" applyBorder="1" applyAlignment="1">
      <alignment horizontal="left" vertical="center" wrapText="1"/>
    </xf>
    <xf numFmtId="0" fontId="11" fillId="0" borderId="15" xfId="22" applyFont="1" applyBorder="1" applyAlignment="1">
      <alignment horizontal="left" vertical="center" wrapText="1"/>
    </xf>
    <xf numFmtId="0" fontId="11" fillId="0" borderId="16" xfId="22" applyFont="1" applyBorder="1" applyAlignment="1">
      <alignment horizontal="left" vertical="center" wrapText="1"/>
    </xf>
    <xf numFmtId="0" fontId="57" fillId="0" borderId="49" xfId="0" applyFont="1" applyBorder="1" applyAlignment="1">
      <alignment horizontal="center" vertical="center"/>
    </xf>
    <xf numFmtId="0" fontId="57" fillId="0" borderId="55" xfId="0" applyFont="1" applyBorder="1" applyAlignment="1">
      <alignment horizontal="center" vertical="center"/>
    </xf>
    <xf numFmtId="0" fontId="57" fillId="0" borderId="5" xfId="0" applyFont="1" applyBorder="1" applyAlignment="1">
      <alignment horizontal="center" vertical="center"/>
    </xf>
    <xf numFmtId="0" fontId="57" fillId="0" borderId="30" xfId="0" applyFont="1" applyBorder="1" applyAlignment="1">
      <alignment horizontal="center" vertical="center"/>
    </xf>
    <xf numFmtId="0" fontId="57" fillId="0" borderId="22" xfId="0" applyFont="1" applyBorder="1" applyAlignment="1">
      <alignment horizontal="center" vertical="center"/>
    </xf>
    <xf numFmtId="0" fontId="57" fillId="0" borderId="23" xfId="0" applyFont="1" applyBorder="1" applyAlignment="1">
      <alignment horizontal="center" vertical="center"/>
    </xf>
    <xf numFmtId="0" fontId="57" fillId="0" borderId="6" xfId="0" applyFont="1" applyBorder="1" applyAlignment="1">
      <alignment horizontal="center" vertical="center"/>
    </xf>
    <xf numFmtId="0" fontId="57" fillId="0" borderId="3" xfId="0" applyFont="1" applyBorder="1" applyAlignment="1">
      <alignment horizontal="center" vertical="center"/>
    </xf>
    <xf numFmtId="0" fontId="57" fillId="0" borderId="25" xfId="0" applyFont="1" applyBorder="1" applyAlignment="1">
      <alignment horizontal="center" vertical="center"/>
    </xf>
    <xf numFmtId="0" fontId="57" fillId="9" borderId="2" xfId="0" applyFont="1" applyFill="1" applyBorder="1" applyAlignment="1">
      <alignment horizontal="center" vertical="center" wrapText="1"/>
    </xf>
    <xf numFmtId="0" fontId="57" fillId="9" borderId="5" xfId="0" applyFont="1" applyFill="1" applyBorder="1" applyAlignment="1">
      <alignment horizontal="center" vertical="center" wrapText="1"/>
    </xf>
    <xf numFmtId="0" fontId="3" fillId="0" borderId="53" xfId="0" applyFont="1" applyBorder="1" applyAlignment="1">
      <alignment horizontal="left" vertical="center" wrapText="1"/>
    </xf>
    <xf numFmtId="0" fontId="3" fillId="0" borderId="48" xfId="0" applyFont="1" applyBorder="1" applyAlignment="1">
      <alignment horizontal="left" vertical="center" wrapText="1"/>
    </xf>
    <xf numFmtId="0" fontId="3" fillId="0" borderId="2" xfId="0" applyFont="1" applyBorder="1" applyAlignment="1">
      <alignment horizontal="left" vertical="center" wrapText="1"/>
    </xf>
    <xf numFmtId="0" fontId="3" fillId="0" borderId="26" xfId="0" applyFont="1" applyBorder="1" applyAlignment="1">
      <alignment horizontal="left" vertical="center" wrapText="1"/>
    </xf>
    <xf numFmtId="0" fontId="57" fillId="0" borderId="2" xfId="0" applyFont="1" applyBorder="1" applyAlignment="1">
      <alignment horizontal="left" vertical="center" wrapText="1"/>
    </xf>
    <xf numFmtId="0" fontId="57" fillId="0" borderId="26" xfId="0" applyFont="1" applyBorder="1" applyAlignment="1">
      <alignment horizontal="left" vertical="center" wrapText="1"/>
    </xf>
    <xf numFmtId="0" fontId="57" fillId="0" borderId="47" xfId="0" applyFont="1" applyBorder="1" applyAlignment="1">
      <alignment horizontal="center" vertical="center"/>
    </xf>
    <xf numFmtId="0" fontId="57" fillId="0" borderId="62" xfId="0" applyFont="1" applyBorder="1" applyAlignment="1">
      <alignment horizontal="center" vertical="center"/>
    </xf>
    <xf numFmtId="0" fontId="57" fillId="0" borderId="43" xfId="0" applyFont="1" applyBorder="1" applyAlignment="1">
      <alignment horizontal="center" vertical="center"/>
    </xf>
    <xf numFmtId="0" fontId="57" fillId="9" borderId="90" xfId="0" applyFont="1" applyFill="1" applyBorder="1" applyAlignment="1">
      <alignment horizontal="center" vertical="center" wrapText="1"/>
    </xf>
    <xf numFmtId="0" fontId="57" fillId="9" borderId="91" xfId="0" applyFont="1" applyFill="1" applyBorder="1" applyAlignment="1">
      <alignment horizontal="center" vertical="center" wrapText="1"/>
    </xf>
    <xf numFmtId="0" fontId="57" fillId="9" borderId="34" xfId="0" applyFont="1" applyFill="1" applyBorder="1" applyAlignment="1">
      <alignment horizontal="center" vertical="center" wrapText="1"/>
    </xf>
    <xf numFmtId="0" fontId="57" fillId="0" borderId="1" xfId="0" applyFont="1" applyBorder="1" applyAlignment="1">
      <alignment horizontal="center" vertical="center" wrapText="1"/>
    </xf>
    <xf numFmtId="0" fontId="57" fillId="9" borderId="10" xfId="0" applyFont="1" applyFill="1" applyBorder="1" applyAlignment="1">
      <alignment horizontal="center" vertical="center" wrapText="1"/>
    </xf>
    <xf numFmtId="0" fontId="57" fillId="9" borderId="63" xfId="0" applyFont="1" applyFill="1" applyBorder="1" applyAlignment="1">
      <alignment horizontal="center" vertical="center" wrapText="1"/>
    </xf>
    <xf numFmtId="0" fontId="57" fillId="9" borderId="4" xfId="0" applyFont="1" applyFill="1" applyBorder="1" applyAlignment="1">
      <alignment horizontal="center" vertical="center" wrapText="1"/>
    </xf>
    <xf numFmtId="0" fontId="57" fillId="9" borderId="54" xfId="0" applyFont="1" applyFill="1" applyBorder="1" applyAlignment="1">
      <alignment horizontal="center" vertical="center"/>
    </xf>
    <xf numFmtId="0" fontId="57" fillId="9" borderId="22" xfId="0" applyFont="1" applyFill="1" applyBorder="1" applyAlignment="1">
      <alignment horizontal="center" vertical="center"/>
    </xf>
    <xf numFmtId="0" fontId="57" fillId="9" borderId="23" xfId="0" applyFont="1" applyFill="1" applyBorder="1" applyAlignment="1">
      <alignment horizontal="center" vertical="center"/>
    </xf>
    <xf numFmtId="0" fontId="57" fillId="9" borderId="64" xfId="0" applyFont="1" applyFill="1" applyBorder="1" applyAlignment="1">
      <alignment horizontal="center" vertical="center"/>
    </xf>
    <xf numFmtId="0" fontId="57" fillId="9" borderId="0" xfId="0" applyFont="1" applyFill="1" applyAlignment="1">
      <alignment horizontal="center" vertical="center"/>
    </xf>
    <xf numFmtId="0" fontId="57" fillId="9" borderId="24" xfId="0" applyFont="1" applyFill="1" applyBorder="1" applyAlignment="1">
      <alignment horizontal="center" vertical="center"/>
    </xf>
    <xf numFmtId="0" fontId="57" fillId="9" borderId="20" xfId="0" applyFont="1" applyFill="1" applyBorder="1" applyAlignment="1">
      <alignment horizontal="center" vertical="center"/>
    </xf>
    <xf numFmtId="0" fontId="57" fillId="9" borderId="3" xfId="0" applyFont="1" applyFill="1" applyBorder="1" applyAlignment="1">
      <alignment horizontal="center" vertical="center"/>
    </xf>
    <xf numFmtId="0" fontId="57" fillId="9" borderId="25" xfId="0" applyFont="1" applyFill="1" applyBorder="1" applyAlignment="1">
      <alignment horizontal="center" vertical="center"/>
    </xf>
    <xf numFmtId="0" fontId="56" fillId="0" borderId="20" xfId="0" applyFont="1" applyBorder="1" applyAlignment="1">
      <alignment horizontal="left" vertical="center"/>
    </xf>
    <xf numFmtId="0" fontId="56" fillId="0" borderId="3" xfId="0" applyFont="1" applyBorder="1" applyAlignment="1">
      <alignment horizontal="left" vertical="center"/>
    </xf>
    <xf numFmtId="0" fontId="56" fillId="0" borderId="55" xfId="0" applyFont="1" applyBorder="1" applyAlignment="1">
      <alignment horizontal="left" vertical="center"/>
    </xf>
    <xf numFmtId="0" fontId="56" fillId="0" borderId="5" xfId="0" applyFont="1" applyBorder="1" applyAlignment="1">
      <alignment horizontal="left" vertical="center"/>
    </xf>
    <xf numFmtId="3" fontId="3" fillId="19" borderId="19" xfId="22" applyNumberFormat="1" applyFont="1" applyFill="1" applyBorder="1" applyAlignment="1">
      <alignment horizontal="left" vertical="center" wrapText="1"/>
    </xf>
    <xf numFmtId="3" fontId="57" fillId="9" borderId="2" xfId="0" applyNumberFormat="1" applyFont="1" applyFill="1" applyBorder="1" applyAlignment="1">
      <alignment horizontal="center" vertical="center"/>
    </xf>
    <xf numFmtId="3" fontId="57" fillId="9" borderId="55" xfId="0" applyNumberFormat="1" applyFont="1" applyFill="1" applyBorder="1" applyAlignment="1">
      <alignment horizontal="center" vertical="center"/>
    </xf>
    <xf numFmtId="3" fontId="57" fillId="9" borderId="5" xfId="0" applyNumberFormat="1" applyFont="1" applyFill="1" applyBorder="1" applyAlignment="1">
      <alignment horizontal="center" vertical="center"/>
    </xf>
    <xf numFmtId="0" fontId="3" fillId="19" borderId="1" xfId="22" applyFont="1" applyFill="1" applyBorder="1" applyAlignment="1">
      <alignment horizontal="left" vertical="center" wrapText="1"/>
    </xf>
    <xf numFmtId="3" fontId="3" fillId="19" borderId="1" xfId="22" applyNumberFormat="1" applyFont="1" applyFill="1" applyBorder="1" applyAlignment="1">
      <alignment horizontal="left" vertical="center" wrapText="1"/>
    </xf>
    <xf numFmtId="0" fontId="3" fillId="24" borderId="1" xfId="22" applyFont="1" applyFill="1" applyBorder="1" applyAlignment="1">
      <alignment horizontal="center" vertical="center" wrapText="1"/>
    </xf>
    <xf numFmtId="0" fontId="3" fillId="24" borderId="19" xfId="22" applyFont="1" applyFill="1" applyBorder="1" applyAlignment="1">
      <alignment horizontal="center" vertical="center" wrapText="1"/>
    </xf>
    <xf numFmtId="0" fontId="3" fillId="19" borderId="19" xfId="22" applyFont="1" applyFill="1" applyBorder="1" applyAlignment="1">
      <alignment horizontal="left" vertical="center" wrapText="1"/>
    </xf>
    <xf numFmtId="0" fontId="56" fillId="0" borderId="49" xfId="0" applyFont="1" applyBorder="1" applyAlignment="1">
      <alignment horizontal="left" vertical="center"/>
    </xf>
    <xf numFmtId="0" fontId="56" fillId="0" borderId="26" xfId="0" applyFont="1" applyBorder="1" applyAlignment="1">
      <alignment horizontal="left" vertical="center"/>
    </xf>
    <xf numFmtId="0" fontId="3" fillId="19" borderId="33" xfId="22" applyFont="1" applyFill="1" applyBorder="1" applyAlignment="1">
      <alignment horizontal="left" vertical="center" wrapText="1"/>
    </xf>
    <xf numFmtId="0" fontId="57" fillId="9" borderId="49" xfId="0" applyFont="1" applyFill="1" applyBorder="1" applyAlignment="1">
      <alignment horizontal="left" vertical="center"/>
    </xf>
    <xf numFmtId="0" fontId="57" fillId="9" borderId="55" xfId="0" applyFont="1" applyFill="1" applyBorder="1" applyAlignment="1">
      <alignment horizontal="left" vertical="center"/>
    </xf>
    <xf numFmtId="0" fontId="57" fillId="9" borderId="5" xfId="0" applyFont="1" applyFill="1" applyBorder="1" applyAlignment="1">
      <alignment horizontal="left" vertical="center"/>
    </xf>
    <xf numFmtId="0" fontId="56" fillId="0" borderId="2" xfId="0" applyFont="1" applyBorder="1" applyAlignment="1">
      <alignment horizontal="left" vertical="center"/>
    </xf>
    <xf numFmtId="3" fontId="3" fillId="24" borderId="1" xfId="22" applyNumberFormat="1" applyFont="1" applyFill="1" applyBorder="1" applyAlignment="1">
      <alignment horizontal="center" vertical="center" wrapText="1"/>
    </xf>
    <xf numFmtId="3" fontId="3" fillId="24" borderId="19" xfId="22" applyNumberFormat="1" applyFont="1" applyFill="1" applyBorder="1" applyAlignment="1">
      <alignment horizontal="center" vertical="center" wrapText="1"/>
    </xf>
    <xf numFmtId="0" fontId="57" fillId="24" borderId="8" xfId="22" applyFont="1" applyFill="1" applyBorder="1" applyAlignment="1">
      <alignment horizontal="center" vertical="center" wrapText="1"/>
    </xf>
    <xf numFmtId="0" fontId="57" fillId="24" borderId="1" xfId="22" applyFont="1" applyFill="1" applyBorder="1" applyAlignment="1">
      <alignment horizontal="center" vertical="center" wrapText="1"/>
    </xf>
    <xf numFmtId="0" fontId="57" fillId="24" borderId="31" xfId="22" applyFont="1" applyFill="1" applyBorder="1" applyAlignment="1">
      <alignment horizontal="center" vertical="center" wrapText="1"/>
    </xf>
    <xf numFmtId="0" fontId="57" fillId="24" borderId="19" xfId="22" applyFont="1" applyFill="1" applyBorder="1" applyAlignment="1">
      <alignment horizontal="center" vertical="center" wrapText="1"/>
    </xf>
    <xf numFmtId="3" fontId="57" fillId="9" borderId="2" xfId="0" applyNumberFormat="1" applyFont="1" applyFill="1" applyBorder="1" applyAlignment="1">
      <alignment horizontal="center" vertical="center" wrapText="1"/>
    </xf>
    <xf numFmtId="3" fontId="57" fillId="9" borderId="55" xfId="0" applyNumberFormat="1" applyFont="1" applyFill="1" applyBorder="1" applyAlignment="1">
      <alignment horizontal="center" vertical="center" wrapText="1"/>
    </xf>
    <xf numFmtId="3" fontId="57" fillId="9" borderId="5" xfId="0" applyNumberFormat="1" applyFont="1" applyFill="1" applyBorder="1" applyAlignment="1">
      <alignment horizontal="center" vertical="center" wrapText="1"/>
    </xf>
    <xf numFmtId="0" fontId="57" fillId="9" borderId="49" xfId="0" applyFont="1" applyFill="1" applyBorder="1" applyAlignment="1">
      <alignment horizontal="center" vertical="center" wrapText="1"/>
    </xf>
    <xf numFmtId="0" fontId="57" fillId="9" borderId="55" xfId="0" applyFont="1" applyFill="1" applyBorder="1" applyAlignment="1">
      <alignment horizontal="center" vertical="center" wrapText="1"/>
    </xf>
    <xf numFmtId="0" fontId="3" fillId="19" borderId="9" xfId="22" applyFont="1" applyFill="1" applyBorder="1" applyAlignment="1">
      <alignment horizontal="left" vertical="center" wrapText="1"/>
    </xf>
    <xf numFmtId="0" fontId="57" fillId="9" borderId="6" xfId="0" applyFont="1" applyFill="1" applyBorder="1" applyAlignment="1">
      <alignment horizontal="left" vertical="center"/>
    </xf>
    <xf numFmtId="0" fontId="57" fillId="9" borderId="3" xfId="0" applyFont="1" applyFill="1" applyBorder="1" applyAlignment="1">
      <alignment horizontal="left" vertical="center"/>
    </xf>
    <xf numFmtId="0" fontId="57" fillId="9" borderId="25" xfId="0" applyFont="1" applyFill="1" applyBorder="1" applyAlignment="1">
      <alignment horizontal="left" vertical="center"/>
    </xf>
    <xf numFmtId="0" fontId="57" fillId="9" borderId="49" xfId="0" applyFont="1" applyFill="1" applyBorder="1" applyAlignment="1">
      <alignment horizontal="center" vertical="center"/>
    </xf>
    <xf numFmtId="0" fontId="57" fillId="9" borderId="55" xfId="0" applyFont="1" applyFill="1" applyBorder="1" applyAlignment="1">
      <alignment horizontal="center" vertical="center"/>
    </xf>
    <xf numFmtId="0" fontId="57" fillId="9" borderId="5" xfId="0" applyFont="1" applyFill="1" applyBorder="1" applyAlignment="1">
      <alignment horizontal="center" vertical="center"/>
    </xf>
    <xf numFmtId="0" fontId="57" fillId="9" borderId="8" xfId="0" applyFont="1" applyFill="1" applyBorder="1" applyAlignment="1">
      <alignment horizontal="center" vertical="center"/>
    </xf>
    <xf numFmtId="0" fontId="57" fillId="9" borderId="1" xfId="0" applyFont="1" applyFill="1" applyBorder="1" applyAlignment="1">
      <alignment horizontal="center" vertical="center"/>
    </xf>
    <xf numFmtId="15" fontId="58" fillId="19" borderId="39" xfId="0" applyNumberFormat="1" applyFont="1" applyFill="1" applyBorder="1" applyAlignment="1">
      <alignment horizontal="center" vertical="center"/>
    </xf>
    <xf numFmtId="0" fontId="58" fillId="19" borderId="12" xfId="0" applyFont="1" applyFill="1" applyBorder="1" applyAlignment="1">
      <alignment horizontal="center" vertical="center"/>
    </xf>
    <xf numFmtId="0" fontId="58" fillId="19" borderId="13" xfId="0" applyFont="1" applyFill="1" applyBorder="1" applyAlignment="1">
      <alignment horizontal="center" vertical="center"/>
    </xf>
    <xf numFmtId="0" fontId="58" fillId="19" borderId="14" xfId="0" applyFont="1" applyFill="1" applyBorder="1" applyAlignment="1">
      <alignment horizontal="center" vertical="center"/>
    </xf>
    <xf numFmtId="0" fontId="58" fillId="19" borderId="38" xfId="0" applyFont="1" applyFill="1" applyBorder="1" applyAlignment="1">
      <alignment horizontal="center" vertical="center"/>
    </xf>
    <xf numFmtId="0" fontId="58" fillId="19" borderId="16" xfId="0" applyFont="1" applyFill="1" applyBorder="1" applyAlignment="1">
      <alignment horizontal="center" vertical="center"/>
    </xf>
    <xf numFmtId="41" fontId="56" fillId="0" borderId="10" xfId="12" applyFont="1" applyFill="1" applyBorder="1" applyAlignment="1">
      <alignment horizontal="justify" vertical="center" wrapText="1"/>
    </xf>
    <xf numFmtId="0" fontId="56" fillId="0" borderId="4" xfId="0" applyFont="1" applyBorder="1" applyAlignment="1">
      <alignment horizontal="justify" vertical="center"/>
    </xf>
    <xf numFmtId="41" fontId="56" fillId="0" borderId="10" xfId="12" applyFont="1" applyFill="1" applyBorder="1" applyAlignment="1">
      <alignment vertical="center" wrapText="1"/>
    </xf>
    <xf numFmtId="0" fontId="56" fillId="0" borderId="4" xfId="0" applyFont="1" applyBorder="1" applyAlignment="1">
      <alignment vertical="center"/>
    </xf>
    <xf numFmtId="0" fontId="30" fillId="0" borderId="49" xfId="0" applyFont="1" applyBorder="1" applyAlignment="1">
      <alignment horizontal="center" vertical="center" wrapText="1"/>
    </xf>
    <xf numFmtId="0" fontId="30" fillId="0" borderId="26" xfId="0" applyFont="1" applyBorder="1" applyAlignment="1">
      <alignment horizontal="center" vertical="center" wrapText="1"/>
    </xf>
    <xf numFmtId="0" fontId="12" fillId="0" borderId="10" xfId="22" applyFont="1" applyBorder="1" applyAlignment="1">
      <alignment horizontal="center" vertical="center" wrapText="1"/>
    </xf>
    <xf numFmtId="0" fontId="12" fillId="0" borderId="57" xfId="22" applyFont="1" applyBorder="1" applyAlignment="1">
      <alignment horizontal="center" vertical="center" wrapText="1"/>
    </xf>
    <xf numFmtId="0" fontId="30" fillId="0" borderId="47" xfId="0" applyFont="1" applyBorder="1" applyAlignment="1">
      <alignment horizontal="center" vertical="center" wrapText="1"/>
    </xf>
    <xf numFmtId="0" fontId="30" fillId="0" borderId="48" xfId="0" applyFont="1" applyBorder="1" applyAlignment="1">
      <alignment horizontal="center" vertical="center" wrapText="1"/>
    </xf>
    <xf numFmtId="0" fontId="12" fillId="19" borderId="20"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7" xfId="22" applyFont="1" applyFill="1" applyBorder="1" applyAlignment="1">
      <alignment horizontal="center" vertical="center" wrapText="1"/>
    </xf>
    <xf numFmtId="0" fontId="36" fillId="0" borderId="39" xfId="0" applyFont="1" applyBorder="1" applyAlignment="1">
      <alignment horizontal="center" vertical="center"/>
    </xf>
    <xf numFmtId="0" fontId="36" fillId="0" borderId="12" xfId="0" applyFont="1" applyBorder="1" applyAlignment="1">
      <alignment horizontal="center" vertical="center"/>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36" fillId="0" borderId="38" xfId="0" applyFont="1" applyBorder="1" applyAlignment="1">
      <alignment horizontal="center" vertical="center"/>
    </xf>
    <xf numFmtId="0" fontId="36" fillId="0" borderId="16" xfId="0" applyFont="1" applyBorder="1" applyAlignment="1">
      <alignment horizontal="center" vertical="center"/>
    </xf>
    <xf numFmtId="0" fontId="12" fillId="20" borderId="39"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14" xfId="22" applyFont="1" applyFill="1" applyBorder="1" applyAlignment="1">
      <alignment horizontal="center" vertical="center" wrapText="1"/>
    </xf>
    <xf numFmtId="0" fontId="12" fillId="20" borderId="38"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172" fontId="12" fillId="19" borderId="50" xfId="17" applyNumberFormat="1" applyFont="1" applyFill="1" applyBorder="1" applyAlignment="1" applyProtection="1">
      <alignment horizontal="center" vertical="center" wrapText="1"/>
    </xf>
    <xf numFmtId="172" fontId="12" fillId="19" borderId="65" xfId="17" applyNumberFormat="1" applyFont="1" applyFill="1" applyBorder="1" applyAlignment="1" applyProtection="1">
      <alignment horizontal="center" vertical="center" wrapText="1"/>
    </xf>
    <xf numFmtId="172" fontId="12" fillId="19" borderId="46" xfId="17" applyNumberFormat="1" applyFont="1" applyFill="1" applyBorder="1" applyAlignment="1" applyProtection="1">
      <alignment horizontal="center" vertical="center" wrapText="1"/>
    </xf>
    <xf numFmtId="0" fontId="12" fillId="19" borderId="49" xfId="22" applyFont="1" applyFill="1" applyBorder="1" applyAlignment="1">
      <alignment horizontal="center" vertical="center" wrapText="1"/>
    </xf>
    <xf numFmtId="0" fontId="12" fillId="19" borderId="55" xfId="22" applyFont="1" applyFill="1" applyBorder="1" applyAlignment="1">
      <alignment horizontal="center" vertical="center" wrapText="1"/>
    </xf>
    <xf numFmtId="0" fontId="12" fillId="19" borderId="5" xfId="22" applyFont="1" applyFill="1" applyBorder="1" applyAlignment="1">
      <alignment horizontal="center" vertical="center" wrapText="1"/>
    </xf>
    <xf numFmtId="172" fontId="12" fillId="0" borderId="2" xfId="17" applyNumberFormat="1" applyFont="1" applyFill="1" applyBorder="1" applyAlignment="1" applyProtection="1">
      <alignment horizontal="center" vertical="center" wrapText="1"/>
    </xf>
    <xf numFmtId="172" fontId="12" fillId="0" borderId="26" xfId="17" applyNumberFormat="1" applyFont="1" applyFill="1" applyBorder="1" applyAlignment="1" applyProtection="1">
      <alignment horizontal="center" vertical="center" wrapText="1"/>
    </xf>
    <xf numFmtId="172" fontId="12" fillId="19" borderId="21" xfId="17" applyNumberFormat="1" applyFont="1" applyFill="1" applyBorder="1" applyAlignment="1" applyProtection="1">
      <alignment horizontal="center" vertical="center" wrapText="1"/>
    </xf>
    <xf numFmtId="0" fontId="12" fillId="0" borderId="2" xfId="22" applyFont="1" applyBorder="1" applyAlignment="1">
      <alignment horizontal="center" vertical="center" wrapText="1"/>
    </xf>
    <xf numFmtId="0" fontId="12" fillId="0" borderId="55" xfId="22" applyFont="1" applyBorder="1" applyAlignment="1">
      <alignment horizontal="center" vertical="center" wrapText="1"/>
    </xf>
    <xf numFmtId="0" fontId="12" fillId="0" borderId="5" xfId="22" applyFont="1" applyBorder="1" applyAlignment="1">
      <alignment horizontal="center" vertical="center" wrapText="1"/>
    </xf>
    <xf numFmtId="9" fontId="32" fillId="0" borderId="54" xfId="22" applyNumberFormat="1" applyFont="1" applyBorder="1" applyAlignment="1">
      <alignment horizontal="center" vertical="center" wrapText="1"/>
    </xf>
    <xf numFmtId="9" fontId="32" fillId="0" borderId="22" xfId="22" applyNumberFormat="1" applyFont="1" applyBorder="1" applyAlignment="1">
      <alignment horizontal="center" vertical="center" wrapText="1"/>
    </xf>
    <xf numFmtId="9" fontId="32" fillId="0" borderId="60" xfId="22" applyNumberFormat="1" applyFont="1" applyBorder="1" applyAlignment="1">
      <alignment horizontal="center" vertical="center" wrapText="1"/>
    </xf>
    <xf numFmtId="9" fontId="32" fillId="0" borderId="64" xfId="22" applyNumberFormat="1" applyFont="1" applyBorder="1" applyAlignment="1">
      <alignment horizontal="center" vertical="center" wrapText="1"/>
    </xf>
    <xf numFmtId="9" fontId="32" fillId="0" borderId="0" xfId="22" applyNumberFormat="1" applyFont="1" applyAlignment="1">
      <alignment horizontal="center" vertical="center" wrapText="1"/>
    </xf>
    <xf numFmtId="9" fontId="32" fillId="0" borderId="14" xfId="22" applyNumberFormat="1" applyFont="1" applyBorder="1" applyAlignment="1">
      <alignment horizontal="center" vertical="center" wrapText="1"/>
    </xf>
    <xf numFmtId="0" fontId="12" fillId="19" borderId="0" xfId="22" applyFont="1" applyFill="1" applyAlignment="1">
      <alignment horizontal="center" vertical="center" wrapText="1"/>
    </xf>
    <xf numFmtId="9" fontId="32" fillId="0" borderId="54" xfId="30" applyFont="1" applyFill="1" applyBorder="1" applyAlignment="1" applyProtection="1">
      <alignment horizontal="center" vertical="center" wrapText="1"/>
    </xf>
    <xf numFmtId="9" fontId="32" fillId="0" borderId="22" xfId="30" applyFont="1" applyFill="1" applyBorder="1" applyAlignment="1" applyProtection="1">
      <alignment horizontal="center" vertical="center" wrapText="1"/>
    </xf>
    <xf numFmtId="9" fontId="32" fillId="0" borderId="23" xfId="30" applyFont="1" applyFill="1" applyBorder="1" applyAlignment="1" applyProtection="1">
      <alignment horizontal="center" vertical="center" wrapText="1"/>
    </xf>
    <xf numFmtId="9" fontId="32" fillId="0" borderId="58" xfId="30" applyFont="1" applyFill="1" applyBorder="1" applyAlignment="1" applyProtection="1">
      <alignment horizontal="center" vertical="center" wrapText="1"/>
    </xf>
    <xf numFmtId="9" fontId="32" fillId="0" borderId="15" xfId="30" applyFont="1" applyFill="1" applyBorder="1" applyAlignment="1" applyProtection="1">
      <alignment horizontal="center" vertical="center" wrapText="1"/>
    </xf>
    <xf numFmtId="9" fontId="32" fillId="0" borderId="59" xfId="30" applyFont="1" applyFill="1" applyBorder="1" applyAlignment="1" applyProtection="1">
      <alignment horizontal="center" vertical="center" wrapText="1"/>
    </xf>
    <xf numFmtId="9" fontId="32" fillId="0" borderId="60" xfId="30" applyFont="1" applyFill="1" applyBorder="1" applyAlignment="1" applyProtection="1">
      <alignment horizontal="center" vertical="center" wrapText="1"/>
    </xf>
    <xf numFmtId="9" fontId="32" fillId="0" borderId="16" xfId="30" applyFont="1" applyFill="1" applyBorder="1" applyAlignment="1" applyProtection="1">
      <alignment horizontal="center" vertical="center" wrapText="1"/>
    </xf>
    <xf numFmtId="0" fontId="12" fillId="19" borderId="6"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0" fontId="0" fillId="0" borderId="56" xfId="0" applyBorder="1" applyAlignment="1">
      <alignment vertical="center" wrapText="1"/>
    </xf>
    <xf numFmtId="0" fontId="12" fillId="2" borderId="13" xfId="22" applyFont="1" applyFill="1" applyBorder="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172" fontId="12" fillId="19" borderId="2" xfId="17" applyNumberFormat="1" applyFont="1" applyFill="1" applyBorder="1" applyAlignment="1" applyProtection="1">
      <alignment horizontal="center" vertical="center"/>
    </xf>
    <xf numFmtId="172" fontId="12" fillId="19" borderId="5" xfId="17" applyNumberFormat="1" applyFont="1" applyFill="1" applyBorder="1" applyAlignment="1" applyProtection="1">
      <alignment horizontal="center" vertical="center"/>
    </xf>
    <xf numFmtId="9" fontId="32" fillId="0" borderId="54" xfId="22" applyNumberFormat="1" applyFont="1" applyBorder="1" applyAlignment="1">
      <alignment horizontal="left" vertical="center" wrapText="1"/>
    </xf>
    <xf numFmtId="9" fontId="32" fillId="0" borderId="22" xfId="22" applyNumberFormat="1" applyFont="1" applyBorder="1" applyAlignment="1">
      <alignment horizontal="left" vertical="center" wrapText="1"/>
    </xf>
    <xf numFmtId="9" fontId="32" fillId="0" borderId="60" xfId="22" applyNumberFormat="1" applyFont="1" applyBorder="1" applyAlignment="1">
      <alignment horizontal="left" vertical="center" wrapText="1"/>
    </xf>
    <xf numFmtId="9" fontId="32" fillId="0" borderId="64" xfId="22" applyNumberFormat="1" applyFont="1" applyBorder="1" applyAlignment="1">
      <alignment horizontal="left" vertical="center" wrapText="1"/>
    </xf>
    <xf numFmtId="9" fontId="32" fillId="0" borderId="0" xfId="22" applyNumberFormat="1" applyFont="1" applyAlignment="1">
      <alignment horizontal="left" vertical="center" wrapText="1"/>
    </xf>
    <xf numFmtId="9" fontId="32" fillId="0" borderId="14" xfId="22" applyNumberFormat="1" applyFont="1" applyBorder="1" applyAlignment="1">
      <alignment horizontal="left" vertical="center" wrapText="1"/>
    </xf>
    <xf numFmtId="0" fontId="36" fillId="0" borderId="40" xfId="0" applyFont="1" applyBorder="1" applyAlignment="1">
      <alignment horizontal="center" vertical="center"/>
    </xf>
    <xf numFmtId="0" fontId="36" fillId="0" borderId="42" xfId="0" applyFont="1" applyBorder="1" applyAlignment="1">
      <alignment horizontal="center" vertical="center"/>
    </xf>
    <xf numFmtId="2" fontId="11" fillId="0" borderId="10" xfId="22" applyNumberFormat="1" applyFont="1" applyBorder="1" applyAlignment="1">
      <alignment horizontal="center" vertical="center" wrapText="1"/>
    </xf>
    <xf numFmtId="2" fontId="11" fillId="0" borderId="57" xfId="22" applyNumberFormat="1" applyFont="1" applyBorder="1" applyAlignment="1">
      <alignment horizontal="center" vertical="center" wrapText="1"/>
    </xf>
    <xf numFmtId="9" fontId="32" fillId="0" borderId="58" xfId="22" applyNumberFormat="1" applyFont="1" applyBorder="1" applyAlignment="1">
      <alignment horizontal="center" vertical="center" wrapText="1"/>
    </xf>
    <xf numFmtId="9" fontId="32" fillId="0" borderId="15" xfId="22" applyNumberFormat="1" applyFont="1" applyBorder="1" applyAlignment="1">
      <alignment horizontal="center" vertical="center" wrapText="1"/>
    </xf>
    <xf numFmtId="9" fontId="32" fillId="0" borderId="16" xfId="22" applyNumberFormat="1" applyFont="1" applyBorder="1" applyAlignment="1">
      <alignment horizontal="center" vertical="center" wrapText="1"/>
    </xf>
    <xf numFmtId="0" fontId="12" fillId="23" borderId="5" xfId="0" applyFont="1" applyFill="1" applyBorder="1" applyAlignment="1">
      <alignment horizontal="left" vertical="center" wrapText="1"/>
    </xf>
    <xf numFmtId="0" fontId="12" fillId="23" borderId="1" xfId="0" applyFont="1" applyFill="1" applyBorder="1" applyAlignment="1">
      <alignment horizontal="left" vertical="center" wrapText="1"/>
    </xf>
    <xf numFmtId="0" fontId="12" fillId="23" borderId="9" xfId="0" applyFont="1" applyFill="1" applyBorder="1" applyAlignment="1">
      <alignment horizontal="left" vertical="center" wrapText="1"/>
    </xf>
    <xf numFmtId="0" fontId="33" fillId="0" borderId="46" xfId="0" applyFont="1" applyBorder="1" applyAlignment="1">
      <alignment horizontal="left" vertical="center" wrapText="1"/>
    </xf>
    <xf numFmtId="0" fontId="33" fillId="0" borderId="19" xfId="0" applyFont="1" applyBorder="1" applyAlignment="1">
      <alignment horizontal="left" vertical="center" wrapText="1"/>
    </xf>
    <xf numFmtId="0" fontId="33" fillId="0" borderId="33" xfId="0" applyFont="1" applyBorder="1" applyAlignment="1">
      <alignment horizontal="left" vertical="center" wrapText="1"/>
    </xf>
    <xf numFmtId="0" fontId="12" fillId="20" borderId="11"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5" xfId="22" applyFont="1" applyFill="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0" fontId="30" fillId="0" borderId="50" xfId="0" applyFont="1" applyBorder="1" applyAlignment="1">
      <alignment horizontal="center" vertical="center" wrapText="1"/>
    </xf>
    <xf numFmtId="0" fontId="30" fillId="0" borderId="51" xfId="0" applyFont="1" applyBorder="1" applyAlignment="1">
      <alignment horizontal="center" vertical="center" wrapText="1"/>
    </xf>
    <xf numFmtId="0" fontId="12" fillId="0" borderId="12" xfId="22" applyFont="1" applyBorder="1" applyAlignment="1">
      <alignment horizontal="center" vertical="center" wrapText="1"/>
    </xf>
    <xf numFmtId="0" fontId="12" fillId="0" borderId="43" xfId="0" applyFont="1" applyBorder="1" applyAlignment="1">
      <alignment horizontal="left" vertical="center" wrapText="1"/>
    </xf>
    <xf numFmtId="0" fontId="12" fillId="0" borderId="44" xfId="0" applyFont="1" applyBorder="1" applyAlignment="1">
      <alignment horizontal="left" vertical="center" wrapText="1"/>
    </xf>
    <xf numFmtId="0" fontId="12" fillId="0" borderId="45" xfId="0" applyFont="1" applyBorder="1" applyAlignment="1">
      <alignment horizontal="left" vertical="center" wrapText="1"/>
    </xf>
    <xf numFmtId="0" fontId="0" fillId="0" borderId="49" xfId="0" applyBorder="1" applyAlignment="1">
      <alignment horizontal="center" vertical="center"/>
    </xf>
    <xf numFmtId="0" fontId="0" fillId="0" borderId="26"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12" fillId="19" borderId="2" xfId="22" applyFont="1" applyFill="1" applyBorder="1" applyAlignment="1">
      <alignment horizontal="center" vertical="center" wrapText="1"/>
    </xf>
    <xf numFmtId="0" fontId="12" fillId="0" borderId="26" xfId="22" applyFont="1" applyBorder="1" applyAlignment="1">
      <alignment horizontal="center" vertical="center" wrapText="1"/>
    </xf>
    <xf numFmtId="172" fontId="12" fillId="19" borderId="2" xfId="17" applyNumberFormat="1" applyFont="1" applyFill="1" applyBorder="1" applyAlignment="1" applyProtection="1">
      <alignment horizontal="center" vertical="center" wrapText="1"/>
    </xf>
    <xf numFmtId="172" fontId="12" fillId="19" borderId="5" xfId="17" applyNumberFormat="1" applyFont="1" applyFill="1" applyBorder="1" applyAlignment="1" applyProtection="1">
      <alignment horizontal="center" vertical="center" wrapText="1"/>
    </xf>
    <xf numFmtId="0" fontId="12" fillId="0" borderId="18" xfId="22" applyFont="1" applyBorder="1" applyAlignment="1">
      <alignment horizontal="center" vertical="center" wrapText="1"/>
    </xf>
    <xf numFmtId="0" fontId="12" fillId="0" borderId="56" xfId="22" applyFont="1" applyBorder="1" applyAlignment="1">
      <alignment horizontal="center" vertical="center" wrapText="1"/>
    </xf>
    <xf numFmtId="0" fontId="32" fillId="0" borderId="1" xfId="22" applyFont="1" applyBorder="1" applyAlignment="1">
      <alignment horizontal="left" vertical="center" wrapText="1"/>
    </xf>
    <xf numFmtId="0" fontId="32" fillId="0" borderId="9" xfId="22" applyFont="1" applyBorder="1" applyAlignment="1">
      <alignment horizontal="left" vertical="center" wrapText="1"/>
    </xf>
    <xf numFmtId="2" fontId="11" fillId="0" borderId="18"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2" fontId="11" fillId="0" borderId="63"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2" fontId="11" fillId="0" borderId="32" xfId="22" applyNumberFormat="1" applyFont="1" applyBorder="1" applyAlignment="1">
      <alignment vertical="center" wrapText="1"/>
    </xf>
    <xf numFmtId="0" fontId="33" fillId="0" borderId="54" xfId="0" applyFont="1" applyBorder="1" applyAlignment="1">
      <alignment vertical="center" wrapText="1"/>
    </xf>
    <xf numFmtId="0" fontId="33" fillId="0" borderId="22" xfId="0" applyFont="1" applyBorder="1" applyAlignment="1">
      <alignment vertical="center" wrapText="1"/>
    </xf>
    <xf numFmtId="0" fontId="33" fillId="0" borderId="60" xfId="0" applyFont="1" applyBorder="1" applyAlignment="1">
      <alignment vertical="center" wrapText="1"/>
    </xf>
    <xf numFmtId="0" fontId="33" fillId="0" borderId="8" xfId="0" applyFont="1" applyBorder="1" applyAlignment="1">
      <alignment horizontal="center" vertical="center"/>
    </xf>
    <xf numFmtId="0" fontId="33" fillId="0" borderId="1" xfId="0" applyFont="1" applyBorder="1" applyAlignment="1">
      <alignment horizontal="center" vertical="center"/>
    </xf>
    <xf numFmtId="0" fontId="12" fillId="0" borderId="44" xfId="0" applyFont="1" applyBorder="1" applyAlignment="1">
      <alignment vertical="center" wrapText="1"/>
    </xf>
    <xf numFmtId="0" fontId="12" fillId="0" borderId="45" xfId="0" applyFont="1" applyBorder="1" applyAlignment="1">
      <alignment vertical="center" wrapText="1"/>
    </xf>
    <xf numFmtId="0" fontId="33" fillId="0" borderId="52" xfId="0" applyFont="1" applyBorder="1" applyAlignment="1">
      <alignment horizontal="center" vertical="center"/>
    </xf>
    <xf numFmtId="0" fontId="33" fillId="0" borderId="44" xfId="0" applyFont="1" applyBorder="1" applyAlignment="1">
      <alignment horizontal="center" vertical="center"/>
    </xf>
    <xf numFmtId="0" fontId="13" fillId="19" borderId="32" xfId="0" applyFont="1" applyFill="1" applyBorder="1" applyAlignment="1">
      <alignment horizontal="center" vertical="center"/>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13" fillId="19" borderId="9" xfId="0" applyFont="1" applyFill="1" applyBorder="1" applyAlignment="1">
      <alignment horizontal="center" vertical="center"/>
    </xf>
    <xf numFmtId="0" fontId="12" fillId="9" borderId="18" xfId="0" applyFont="1" applyFill="1" applyBorder="1" applyAlignment="1">
      <alignment horizontal="center" vertical="center" wrapText="1"/>
    </xf>
    <xf numFmtId="0" fontId="12" fillId="9" borderId="32"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1" xfId="0" applyFont="1" applyFill="1" applyBorder="1" applyAlignment="1">
      <alignment horizontal="left" vertical="center"/>
    </xf>
    <xf numFmtId="0" fontId="12" fillId="9" borderId="9" xfId="0" applyFont="1" applyFill="1" applyBorder="1" applyAlignment="1">
      <alignment horizontal="left" vertical="center"/>
    </xf>
    <xf numFmtId="0" fontId="12" fillId="9" borderId="2" xfId="0" applyFont="1" applyFill="1" applyBorder="1" applyAlignment="1">
      <alignment horizontal="left" vertical="center" wrapText="1"/>
    </xf>
    <xf numFmtId="0" fontId="12" fillId="9" borderId="55" xfId="0" applyFont="1" applyFill="1" applyBorder="1" applyAlignment="1">
      <alignment horizontal="left" vertical="center" wrapText="1"/>
    </xf>
    <xf numFmtId="0" fontId="12" fillId="9" borderId="26" xfId="0" applyFont="1" applyFill="1" applyBorder="1" applyAlignment="1">
      <alignment horizontal="left"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55" xfId="0" applyFont="1" applyFill="1" applyBorder="1" applyAlignment="1">
      <alignment horizontal="center" vertical="center" wrapText="1"/>
    </xf>
    <xf numFmtId="0" fontId="12" fillId="9" borderId="26" xfId="0" applyFont="1" applyFill="1" applyBorder="1" applyAlignment="1">
      <alignment horizontal="center" vertical="center" wrapText="1"/>
    </xf>
    <xf numFmtId="0" fontId="12" fillId="9" borderId="1" xfId="0" applyFont="1" applyFill="1" applyBorder="1" applyAlignment="1">
      <alignment horizontal="left" vertical="center"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33" fillId="21" borderId="2" xfId="0" applyFont="1" applyFill="1" applyBorder="1" applyAlignment="1">
      <alignment horizontal="center" vertical="center"/>
    </xf>
    <xf numFmtId="0" fontId="33" fillId="21" borderId="5"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5" xfId="0" applyFont="1" applyBorder="1" applyAlignment="1">
      <alignment horizontal="left" vertical="center" wrapText="1"/>
    </xf>
    <xf numFmtId="0" fontId="31" fillId="0" borderId="10" xfId="0" applyFont="1" applyBorder="1" applyAlignment="1">
      <alignment horizontal="left" vertical="center" wrapText="1"/>
    </xf>
    <xf numFmtId="0" fontId="31" fillId="0" borderId="63" xfId="0" applyFont="1" applyBorder="1" applyAlignment="1">
      <alignment horizontal="left" vertical="center" wrapText="1"/>
    </xf>
    <xf numFmtId="0" fontId="31" fillId="0" borderId="4" xfId="0" applyFont="1" applyBorder="1" applyAlignment="1">
      <alignment horizontal="left" vertical="center" wrapText="1"/>
    </xf>
    <xf numFmtId="41" fontId="31" fillId="0" borderId="54" xfId="12" applyFont="1" applyFill="1" applyBorder="1" applyAlignment="1">
      <alignment horizontal="left" vertical="center"/>
    </xf>
    <xf numFmtId="41" fontId="31" fillId="0" borderId="64" xfId="12" applyFont="1" applyFill="1" applyBorder="1" applyAlignment="1">
      <alignment horizontal="left" vertical="center"/>
    </xf>
    <xf numFmtId="41" fontId="31" fillId="0" borderId="20" xfId="12" applyFont="1" applyFill="1" applyBorder="1" applyAlignment="1">
      <alignment horizontal="left" vertical="center"/>
    </xf>
    <xf numFmtId="0" fontId="0" fillId="13" borderId="1" xfId="0" applyFill="1" applyBorder="1" applyAlignment="1">
      <alignment horizontal="center"/>
    </xf>
    <xf numFmtId="0" fontId="0" fillId="0" borderId="2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3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24" xfId="0" applyFill="1" applyBorder="1" applyAlignment="1">
      <alignment horizontal="center"/>
    </xf>
  </cellXfs>
  <cellStyles count="49">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8000000}"/>
    <cellStyle name="Encabezado 2" xfId="6" xr:uid="{00000000-0005-0000-0000-000009000000}"/>
    <cellStyle name="Énfasis6 2" xfId="7" xr:uid="{00000000-0005-0000-0000-00000A000000}"/>
    <cellStyle name="Fecha" xfId="8" xr:uid="{00000000-0005-0000-0000-00000B000000}"/>
    <cellStyle name="HeaderStyle" xfId="9" xr:uid="{00000000-0005-0000-0000-00000C000000}"/>
    <cellStyle name="Millares" xfId="10" builtinId="3"/>
    <cellStyle name="Millares [0]" xfId="11" builtinId="6"/>
    <cellStyle name="Millares [0] 2" xfId="12" xr:uid="{00000000-0005-0000-0000-00000D000000}"/>
    <cellStyle name="Millares [0] 2 2" xfId="34" xr:uid="{00000000-0005-0000-0000-00000E000000}"/>
    <cellStyle name="Millares [0] 2 2 2" xfId="36" xr:uid="{00000000-0005-0000-0000-00000F000000}"/>
    <cellStyle name="Millares [0] 2 2 2 2" xfId="40" xr:uid="{00000000-0005-0000-0000-000010000000}"/>
    <cellStyle name="Millares [0] 2 2 2 2 2" xfId="48" xr:uid="{00000000-0005-0000-0000-000011000000}"/>
    <cellStyle name="Millares [0] 2 2 2 3" xfId="44" xr:uid="{00000000-0005-0000-0000-000012000000}"/>
    <cellStyle name="Millares [0] 2 2 3" xfId="38" xr:uid="{00000000-0005-0000-0000-000013000000}"/>
    <cellStyle name="Millares [0] 2 2 3 2" xfId="46" xr:uid="{00000000-0005-0000-0000-000014000000}"/>
    <cellStyle name="Millares [0] 2 2 4" xfId="42" xr:uid="{00000000-0005-0000-0000-000015000000}"/>
    <cellStyle name="Millares [0] 2 3" xfId="35" xr:uid="{00000000-0005-0000-0000-000016000000}"/>
    <cellStyle name="Millares [0] 2 3 2" xfId="39" xr:uid="{00000000-0005-0000-0000-000017000000}"/>
    <cellStyle name="Millares [0] 2 3 2 2" xfId="47" xr:uid="{00000000-0005-0000-0000-000018000000}"/>
    <cellStyle name="Millares [0] 2 3 3" xfId="43" xr:uid="{00000000-0005-0000-0000-000019000000}"/>
    <cellStyle name="Millares [0] 2 4" xfId="37" xr:uid="{00000000-0005-0000-0000-00001A000000}"/>
    <cellStyle name="Millares [0] 2 4 2" xfId="45" xr:uid="{00000000-0005-0000-0000-00001B000000}"/>
    <cellStyle name="Millares [0] 2 5" xfId="41" xr:uid="{00000000-0005-0000-0000-00001C000000}"/>
    <cellStyle name="Millares 2" xfId="13" xr:uid="{00000000-0005-0000-0000-00001D000000}"/>
    <cellStyle name="Moneda" xfId="14" builtinId="4"/>
    <cellStyle name="Moneda [0]" xfId="15" builtinId="7"/>
    <cellStyle name="Moneda 130" xfId="16" xr:uid="{00000000-0005-0000-0000-00001E000000}"/>
    <cellStyle name="Moneda 2" xfId="17" xr:uid="{00000000-0005-0000-0000-00001F000000}"/>
    <cellStyle name="Moneda 2 2" xfId="18" xr:uid="{00000000-0005-0000-0000-000020000000}"/>
    <cellStyle name="Moneda 23" xfId="19" xr:uid="{00000000-0005-0000-0000-000021000000}"/>
    <cellStyle name="Moneda 3" xfId="20" xr:uid="{00000000-0005-0000-0000-000022000000}"/>
    <cellStyle name="Neutral 2" xfId="21" xr:uid="{00000000-0005-0000-0000-000023000000}"/>
    <cellStyle name="Normal" xfId="0" builtinId="0"/>
    <cellStyle name="Normal 2" xfId="22" xr:uid="{00000000-0005-0000-0000-000025000000}"/>
    <cellStyle name="Normal 2 2" xfId="23" xr:uid="{00000000-0005-0000-0000-000026000000}"/>
    <cellStyle name="Normal 2 3" xfId="24" xr:uid="{00000000-0005-0000-0000-000027000000}"/>
    <cellStyle name="Normal 3" xfId="25" xr:uid="{00000000-0005-0000-0000-000028000000}"/>
    <cellStyle name="Normal 3 2" xfId="26" xr:uid="{00000000-0005-0000-0000-000029000000}"/>
    <cellStyle name="Normal 6 2" xfId="27" xr:uid="{00000000-0005-0000-0000-00002A000000}"/>
    <cellStyle name="Porcentaje" xfId="28" builtinId="5"/>
    <cellStyle name="Porcentaje 2" xfId="29" xr:uid="{00000000-0005-0000-0000-00002C000000}"/>
    <cellStyle name="Porcentual 2" xfId="30" xr:uid="{00000000-0005-0000-0000-00002D000000}"/>
    <cellStyle name="Texto de inicio" xfId="31" xr:uid="{00000000-0005-0000-0000-00002E000000}"/>
    <cellStyle name="Texto de la columna A" xfId="32" xr:uid="{00000000-0005-0000-0000-00002F000000}"/>
    <cellStyle name="Título 4" xfId="33" xr:uid="{00000000-0005-0000-0000-000030000000}"/>
  </cellStyles>
  <dxfs count="0"/>
  <tableStyles count="0" defaultTableStyle="TableStyleMedium9" defaultPivotStyle="PivotStyleLight16"/>
  <colors>
    <mruColors>
      <color rgb="FF66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004" name="Picture 47">
          <a:extLst>
            <a:ext uri="{FF2B5EF4-FFF2-40B4-BE49-F238E27FC236}">
              <a16:creationId xmlns:a16="http://schemas.microsoft.com/office/drawing/2014/main" id="{42213192-D152-44DA-A587-0220930212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3972" name="Picture 47">
          <a:extLst>
            <a:ext uri="{FF2B5EF4-FFF2-40B4-BE49-F238E27FC236}">
              <a16:creationId xmlns:a16="http://schemas.microsoft.com/office/drawing/2014/main" id="{AEC35046-D49E-4DDC-818F-976BB672BE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4996" name="Picture 47">
          <a:extLst>
            <a:ext uri="{FF2B5EF4-FFF2-40B4-BE49-F238E27FC236}">
              <a16:creationId xmlns:a16="http://schemas.microsoft.com/office/drawing/2014/main" id="{E84F95AA-C16C-46A9-9E13-52460F6205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666750</xdr:colOff>
      <xdr:row>0</xdr:row>
      <xdr:rowOff>85725</xdr:rowOff>
    </xdr:from>
    <xdr:to>
      <xdr:col>0</xdr:col>
      <xdr:colOff>1838325</xdr:colOff>
      <xdr:row>3</xdr:row>
      <xdr:rowOff>142875</xdr:rowOff>
    </xdr:to>
    <xdr:pic>
      <xdr:nvPicPr>
        <xdr:cNvPr id="3" name="Picture 47">
          <a:extLst>
            <a:ext uri="{FF2B5EF4-FFF2-40B4-BE49-F238E27FC236}">
              <a16:creationId xmlns:a16="http://schemas.microsoft.com/office/drawing/2014/main" id="{01041CE0-C175-4285-B149-1D8F20DB09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768350</xdr:colOff>
      <xdr:row>0</xdr:row>
      <xdr:rowOff>73025</xdr:rowOff>
    </xdr:from>
    <xdr:to>
      <xdr:col>0</xdr:col>
      <xdr:colOff>1939925</xdr:colOff>
      <xdr:row>3</xdr:row>
      <xdr:rowOff>130175</xdr:rowOff>
    </xdr:to>
    <xdr:pic>
      <xdr:nvPicPr>
        <xdr:cNvPr id="86020" name="Picture 47">
          <a:extLst>
            <a:ext uri="{FF2B5EF4-FFF2-40B4-BE49-F238E27FC236}">
              <a16:creationId xmlns:a16="http://schemas.microsoft.com/office/drawing/2014/main" id="{5774400F-EF48-4B2A-813A-E0A6DC9AD3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350" y="730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768350</xdr:colOff>
      <xdr:row>0</xdr:row>
      <xdr:rowOff>73025</xdr:rowOff>
    </xdr:from>
    <xdr:to>
      <xdr:col>0</xdr:col>
      <xdr:colOff>1939925</xdr:colOff>
      <xdr:row>3</xdr:row>
      <xdr:rowOff>130175</xdr:rowOff>
    </xdr:to>
    <xdr:pic>
      <xdr:nvPicPr>
        <xdr:cNvPr id="3" name="Picture 47">
          <a:extLst>
            <a:ext uri="{FF2B5EF4-FFF2-40B4-BE49-F238E27FC236}">
              <a16:creationId xmlns:a16="http://schemas.microsoft.com/office/drawing/2014/main" id="{E44E24A2-8D46-4ACE-B397-C8E184E531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350" y="73025"/>
          <a:ext cx="1171575"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768350</xdr:colOff>
      <xdr:row>0</xdr:row>
      <xdr:rowOff>73025</xdr:rowOff>
    </xdr:from>
    <xdr:to>
      <xdr:col>0</xdr:col>
      <xdr:colOff>1939925</xdr:colOff>
      <xdr:row>3</xdr:row>
      <xdr:rowOff>130175</xdr:rowOff>
    </xdr:to>
    <xdr:pic>
      <xdr:nvPicPr>
        <xdr:cNvPr id="2" name="Picture 47">
          <a:extLst>
            <a:ext uri="{FF2B5EF4-FFF2-40B4-BE49-F238E27FC236}">
              <a16:creationId xmlns:a16="http://schemas.microsoft.com/office/drawing/2014/main" id="{0E5CAE87-CFF3-4C87-BDBC-8D1162EE3E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8350" y="73025"/>
          <a:ext cx="1171575" cy="1154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768350</xdr:colOff>
      <xdr:row>0</xdr:row>
      <xdr:rowOff>73025</xdr:rowOff>
    </xdr:from>
    <xdr:to>
      <xdr:col>0</xdr:col>
      <xdr:colOff>1939925</xdr:colOff>
      <xdr:row>3</xdr:row>
      <xdr:rowOff>130175</xdr:rowOff>
    </xdr:to>
    <xdr:pic>
      <xdr:nvPicPr>
        <xdr:cNvPr id="2" name="Picture 47">
          <a:extLst>
            <a:ext uri="{FF2B5EF4-FFF2-40B4-BE49-F238E27FC236}">
              <a16:creationId xmlns:a16="http://schemas.microsoft.com/office/drawing/2014/main" id="{828F9560-DC5A-49BA-B25E-090793FB5F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8350" y="73025"/>
          <a:ext cx="1171575" cy="1154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841375</xdr:colOff>
      <xdr:row>0</xdr:row>
      <xdr:rowOff>117475</xdr:rowOff>
    </xdr:from>
    <xdr:to>
      <xdr:col>0</xdr:col>
      <xdr:colOff>2012950</xdr:colOff>
      <xdr:row>3</xdr:row>
      <xdr:rowOff>174625</xdr:rowOff>
    </xdr:to>
    <xdr:pic>
      <xdr:nvPicPr>
        <xdr:cNvPr id="2" name="Picture 47">
          <a:extLst>
            <a:ext uri="{FF2B5EF4-FFF2-40B4-BE49-F238E27FC236}">
              <a16:creationId xmlns:a16="http://schemas.microsoft.com/office/drawing/2014/main" id="{83F70BA1-C4B6-4058-8E2A-2CAAB52217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1375" y="117475"/>
          <a:ext cx="11715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0544" name="Picture 47">
          <a:extLst>
            <a:ext uri="{FF2B5EF4-FFF2-40B4-BE49-F238E27FC236}">
              <a16:creationId xmlns:a16="http://schemas.microsoft.com/office/drawing/2014/main" id="{D679CC48-AFC4-440B-A989-8CDFFAD35D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69</xdr:col>
      <xdr:colOff>278780</xdr:colOff>
      <xdr:row>10</xdr:row>
      <xdr:rowOff>871189</xdr:rowOff>
    </xdr:from>
    <xdr:to>
      <xdr:col>69</xdr:col>
      <xdr:colOff>1129680</xdr:colOff>
      <xdr:row>10</xdr:row>
      <xdr:rowOff>1315689</xdr:rowOff>
    </xdr:to>
    <xdr:sp macro="" textlink="">
      <xdr:nvSpPr>
        <xdr:cNvPr id="4" name="Notched Right Arrow 1">
          <a:extLst>
            <a:ext uri="{FF2B5EF4-FFF2-40B4-BE49-F238E27FC236}">
              <a16:creationId xmlns:a16="http://schemas.microsoft.com/office/drawing/2014/main" id="{5594C939-C814-4B7E-9749-5E072F5C45AD}"/>
            </a:ext>
          </a:extLst>
        </xdr:cNvPr>
        <xdr:cNvSpPr/>
      </xdr:nvSpPr>
      <xdr:spPr>
        <a:xfrm>
          <a:off x="53514005" y="3690589"/>
          <a:ext cx="850900" cy="444500"/>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69</xdr:col>
      <xdr:colOff>278780</xdr:colOff>
      <xdr:row>24</xdr:row>
      <xdr:rowOff>871189</xdr:rowOff>
    </xdr:from>
    <xdr:to>
      <xdr:col>69</xdr:col>
      <xdr:colOff>1129680</xdr:colOff>
      <xdr:row>24</xdr:row>
      <xdr:rowOff>1315689</xdr:rowOff>
    </xdr:to>
    <xdr:sp macro="" textlink="">
      <xdr:nvSpPr>
        <xdr:cNvPr id="5" name="Notched Right Arrow 2">
          <a:extLst>
            <a:ext uri="{FF2B5EF4-FFF2-40B4-BE49-F238E27FC236}">
              <a16:creationId xmlns:a16="http://schemas.microsoft.com/office/drawing/2014/main" id="{FA42CB69-24FE-4C64-AE78-EB140D00A052}"/>
            </a:ext>
          </a:extLst>
        </xdr:cNvPr>
        <xdr:cNvSpPr/>
      </xdr:nvSpPr>
      <xdr:spPr>
        <a:xfrm>
          <a:off x="53514005" y="8310214"/>
          <a:ext cx="850900" cy="444500"/>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persons/person.xml><?xml version="1.0" encoding="utf-8"?>
<personList xmlns="http://schemas.microsoft.com/office/spreadsheetml/2018/threadedcomments" xmlns:x="http://schemas.openxmlformats.org/spreadsheetml/2006/main">
  <person displayName="Yenny Maritza Guzmán" id="{CF7742F5-3633-4FAA-957E-6B10D7A99166}" userId="S::yguzman@sdmujer.gov.co::40d50a99-5ce0-4ef5-838d-d4fa59bd21a7"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19" dT="2022-01-21T18:49:39.01" personId="{CF7742F5-3633-4FAA-957E-6B10D7A99166}" id="{E7A438EF-72BC-4C57-BD52-6AB74C0E20DB}">
    <text>puede requerir ajuste</text>
  </threadedComment>
  <threadedComment ref="V19" dT="2022-01-21T18:53:11.28" personId="{CF7742F5-3633-4FAA-957E-6B10D7A99166}" id="{031F8347-D4EC-4C6A-860A-70D14BBF53E7}">
    <text>PUEDE REQUERIR AJUSTE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7" tint="0.39997558519241921"/>
  </sheetPr>
  <dimension ref="A1:XEN75"/>
  <sheetViews>
    <sheetView showGridLines="0" view="pageBreakPreview" topLeftCell="A3" zoomScale="60" zoomScaleNormal="75" workbookViewId="0">
      <selection activeCell="O22" sqref="A22:O22"/>
    </sheetView>
  </sheetViews>
  <sheetFormatPr baseColWidth="10" defaultColWidth="10.85546875" defaultRowHeight="15" x14ac:dyDescent="0.25"/>
  <cols>
    <col min="1" max="1" width="45.42578125" style="108" customWidth="1"/>
    <col min="2" max="2" width="15.42578125" style="108" customWidth="1"/>
    <col min="3" max="3" width="17.42578125" style="108" customWidth="1"/>
    <col min="4" max="16" width="15.42578125" style="108" customWidth="1"/>
    <col min="17" max="17" width="17.42578125" style="108" customWidth="1"/>
    <col min="18" max="18" width="16" style="108" customWidth="1"/>
    <col min="19" max="19" width="18.42578125" style="108" customWidth="1"/>
    <col min="20" max="20" width="14.85546875" style="108" bestFit="1" customWidth="1"/>
    <col min="21" max="21" width="16" style="108" bestFit="1" customWidth="1"/>
    <col min="22" max="22" width="14.85546875" style="108" bestFit="1" customWidth="1"/>
    <col min="23" max="23" width="14.140625" style="108" customWidth="1"/>
    <col min="24" max="24" width="15.85546875" style="108" customWidth="1"/>
    <col min="25" max="25" width="14.85546875" style="108" customWidth="1"/>
    <col min="26" max="26" width="15" style="108" customWidth="1"/>
    <col min="27" max="30" width="17" style="108" customWidth="1"/>
    <col min="31" max="31" width="6.42578125" style="108" bestFit="1" customWidth="1"/>
    <col min="32" max="32" width="22.85546875" style="108" customWidth="1"/>
    <col min="33" max="33" width="18.42578125" style="108" bestFit="1" customWidth="1"/>
    <col min="34" max="34" width="8.42578125" style="108" customWidth="1"/>
    <col min="35" max="35" width="18.42578125" style="108" bestFit="1" customWidth="1"/>
    <col min="36" max="36" width="5.42578125" style="108" customWidth="1"/>
    <col min="37" max="37" width="18.42578125" style="108" bestFit="1" customWidth="1"/>
    <col min="38" max="38" width="4.42578125" style="108" customWidth="1"/>
    <col min="39" max="39" width="23" style="108" bestFit="1" customWidth="1"/>
    <col min="40" max="40" width="10.85546875" style="108"/>
    <col min="41" max="41" width="18.42578125" style="108" bestFit="1" customWidth="1"/>
    <col min="42" max="42" width="16.140625" style="108" customWidth="1"/>
    <col min="43" max="16384" width="10.85546875" style="108"/>
  </cols>
  <sheetData>
    <row r="1" spans="1:30" ht="32.25" customHeight="1" x14ac:dyDescent="0.25">
      <c r="A1" s="489"/>
      <c r="B1" s="492" t="s">
        <v>0</v>
      </c>
      <c r="C1" s="493"/>
      <c r="D1" s="493"/>
      <c r="E1" s="493"/>
      <c r="F1" s="493"/>
      <c r="G1" s="493"/>
      <c r="H1" s="493"/>
      <c r="I1" s="493"/>
      <c r="J1" s="493"/>
      <c r="K1" s="493"/>
      <c r="L1" s="493"/>
      <c r="M1" s="493"/>
      <c r="N1" s="493"/>
      <c r="O1" s="493"/>
      <c r="P1" s="493"/>
      <c r="Q1" s="493"/>
      <c r="R1" s="493"/>
      <c r="S1" s="493"/>
      <c r="T1" s="493"/>
      <c r="U1" s="493"/>
      <c r="V1" s="493"/>
      <c r="W1" s="493"/>
      <c r="X1" s="493"/>
      <c r="Y1" s="493"/>
      <c r="Z1" s="493"/>
      <c r="AA1" s="494"/>
      <c r="AB1" s="495" t="s">
        <v>1</v>
      </c>
      <c r="AC1" s="496"/>
      <c r="AD1" s="497"/>
    </row>
    <row r="2" spans="1:30" ht="30.75" customHeight="1" x14ac:dyDescent="0.25">
      <c r="A2" s="490"/>
      <c r="B2" s="498" t="s">
        <v>2</v>
      </c>
      <c r="C2" s="499"/>
      <c r="D2" s="499"/>
      <c r="E2" s="499"/>
      <c r="F2" s="499"/>
      <c r="G2" s="499"/>
      <c r="H2" s="499"/>
      <c r="I2" s="499"/>
      <c r="J2" s="499"/>
      <c r="K2" s="499"/>
      <c r="L2" s="499"/>
      <c r="M2" s="499"/>
      <c r="N2" s="499"/>
      <c r="O2" s="499"/>
      <c r="P2" s="499"/>
      <c r="Q2" s="499"/>
      <c r="R2" s="499"/>
      <c r="S2" s="499"/>
      <c r="T2" s="499"/>
      <c r="U2" s="499"/>
      <c r="V2" s="499"/>
      <c r="W2" s="499"/>
      <c r="X2" s="499"/>
      <c r="Y2" s="499"/>
      <c r="Z2" s="499"/>
      <c r="AA2" s="500"/>
      <c r="AB2" s="501" t="s">
        <v>3</v>
      </c>
      <c r="AC2" s="502"/>
      <c r="AD2" s="503"/>
    </row>
    <row r="3" spans="1:30" ht="37.5" customHeight="1" x14ac:dyDescent="0.25">
      <c r="A3" s="490"/>
      <c r="B3" s="504" t="s">
        <v>4</v>
      </c>
      <c r="C3" s="505"/>
      <c r="D3" s="505"/>
      <c r="E3" s="505"/>
      <c r="F3" s="505"/>
      <c r="G3" s="505"/>
      <c r="H3" s="505"/>
      <c r="I3" s="505"/>
      <c r="J3" s="505"/>
      <c r="K3" s="505"/>
      <c r="L3" s="505"/>
      <c r="M3" s="505"/>
      <c r="N3" s="505"/>
      <c r="O3" s="505"/>
      <c r="P3" s="505"/>
      <c r="Q3" s="505"/>
      <c r="R3" s="505"/>
      <c r="S3" s="505"/>
      <c r="T3" s="505"/>
      <c r="U3" s="505"/>
      <c r="V3" s="505"/>
      <c r="W3" s="505"/>
      <c r="X3" s="505"/>
      <c r="Y3" s="505"/>
      <c r="Z3" s="505"/>
      <c r="AA3" s="506"/>
      <c r="AB3" s="501" t="s">
        <v>5</v>
      </c>
      <c r="AC3" s="502"/>
      <c r="AD3" s="503"/>
    </row>
    <row r="4" spans="1:30" ht="15.75" customHeight="1" thickBot="1" x14ac:dyDescent="0.3">
      <c r="A4" s="491"/>
      <c r="B4" s="507"/>
      <c r="C4" s="508"/>
      <c r="D4" s="508"/>
      <c r="E4" s="508"/>
      <c r="F4" s="508"/>
      <c r="G4" s="508"/>
      <c r="H4" s="508"/>
      <c r="I4" s="508"/>
      <c r="J4" s="508"/>
      <c r="K4" s="508"/>
      <c r="L4" s="508"/>
      <c r="M4" s="508"/>
      <c r="N4" s="508"/>
      <c r="O4" s="508"/>
      <c r="P4" s="508"/>
      <c r="Q4" s="508"/>
      <c r="R4" s="508"/>
      <c r="S4" s="508"/>
      <c r="T4" s="508"/>
      <c r="U4" s="508"/>
      <c r="V4" s="508"/>
      <c r="W4" s="508"/>
      <c r="X4" s="508"/>
      <c r="Y4" s="508"/>
      <c r="Z4" s="508"/>
      <c r="AA4" s="509"/>
      <c r="AB4" s="510" t="s">
        <v>6</v>
      </c>
      <c r="AC4" s="511"/>
      <c r="AD4" s="512"/>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515" t="s">
        <v>7</v>
      </c>
      <c r="B7" s="516"/>
      <c r="C7" s="521" t="s">
        <v>40</v>
      </c>
      <c r="D7" s="515" t="s">
        <v>9</v>
      </c>
      <c r="E7" s="524"/>
      <c r="F7" s="524"/>
      <c r="G7" s="524"/>
      <c r="H7" s="516"/>
      <c r="I7" s="527">
        <v>44929</v>
      </c>
      <c r="J7" s="528"/>
      <c r="K7" s="515" t="s">
        <v>10</v>
      </c>
      <c r="L7" s="516"/>
      <c r="M7" s="543" t="s">
        <v>11</v>
      </c>
      <c r="N7" s="544"/>
      <c r="O7" s="533"/>
      <c r="P7" s="534"/>
      <c r="Q7" s="54"/>
      <c r="R7" s="54"/>
      <c r="S7" s="54"/>
      <c r="T7" s="54"/>
      <c r="U7" s="54"/>
      <c r="V7" s="54"/>
      <c r="W7" s="54"/>
      <c r="X7" s="54"/>
      <c r="Y7" s="54"/>
      <c r="Z7" s="55"/>
      <c r="AA7" s="54"/>
      <c r="AB7" s="54"/>
      <c r="AC7" s="60"/>
      <c r="AD7" s="61"/>
    </row>
    <row r="8" spans="1:30" x14ac:dyDescent="0.25">
      <c r="A8" s="517"/>
      <c r="B8" s="518"/>
      <c r="C8" s="522"/>
      <c r="D8" s="517"/>
      <c r="E8" s="525"/>
      <c r="F8" s="525"/>
      <c r="G8" s="525"/>
      <c r="H8" s="518"/>
      <c r="I8" s="529"/>
      <c r="J8" s="530"/>
      <c r="K8" s="517"/>
      <c r="L8" s="518"/>
      <c r="M8" s="535" t="s">
        <v>12</v>
      </c>
      <c r="N8" s="536"/>
      <c r="O8" s="537"/>
      <c r="P8" s="538"/>
      <c r="Q8" s="54"/>
      <c r="R8" s="54"/>
      <c r="S8" s="54"/>
      <c r="T8" s="54"/>
      <c r="U8" s="54"/>
      <c r="V8" s="54"/>
      <c r="W8" s="54"/>
      <c r="X8" s="54"/>
      <c r="Y8" s="54"/>
      <c r="Z8" s="55"/>
      <c r="AA8" s="54"/>
      <c r="AB8" s="54"/>
      <c r="AC8" s="60"/>
      <c r="AD8" s="61"/>
    </row>
    <row r="9" spans="1:30" ht="15.75" thickBot="1" x14ac:dyDescent="0.3">
      <c r="A9" s="519"/>
      <c r="B9" s="520"/>
      <c r="C9" s="523"/>
      <c r="D9" s="519"/>
      <c r="E9" s="526"/>
      <c r="F9" s="526"/>
      <c r="G9" s="526"/>
      <c r="H9" s="520"/>
      <c r="I9" s="531"/>
      <c r="J9" s="532"/>
      <c r="K9" s="519"/>
      <c r="L9" s="520"/>
      <c r="M9" s="539" t="s">
        <v>13</v>
      </c>
      <c r="N9" s="540"/>
      <c r="O9" s="541" t="s">
        <v>14</v>
      </c>
      <c r="P9" s="542"/>
      <c r="Q9" s="54"/>
      <c r="R9" s="54"/>
      <c r="S9" s="54"/>
      <c r="T9" s="54"/>
      <c r="U9" s="54"/>
      <c r="V9" s="54"/>
      <c r="W9" s="54"/>
      <c r="X9" s="54"/>
      <c r="Y9" s="54"/>
      <c r="Z9" s="55"/>
      <c r="AA9" s="54"/>
      <c r="AB9" s="54"/>
      <c r="AC9" s="60"/>
      <c r="AD9" s="61"/>
    </row>
    <row r="10" spans="1:30" ht="15" customHeight="1" x14ac:dyDescent="0.25">
      <c r="A10" s="151"/>
      <c r="B10" s="152"/>
      <c r="C10" s="152"/>
      <c r="D10" s="65"/>
      <c r="E10" s="65"/>
      <c r="F10" s="65"/>
      <c r="G10" s="65"/>
      <c r="H10" s="65"/>
      <c r="I10" s="212"/>
      <c r="J10" s="212"/>
      <c r="K10" s="65"/>
      <c r="L10" s="65"/>
      <c r="M10" s="213"/>
      <c r="N10" s="213"/>
      <c r="O10" s="112"/>
      <c r="P10" s="112"/>
      <c r="Q10" s="152"/>
      <c r="R10" s="152"/>
      <c r="S10" s="152"/>
      <c r="T10" s="152"/>
      <c r="U10" s="152"/>
      <c r="V10" s="152"/>
      <c r="W10" s="152"/>
      <c r="X10" s="152"/>
      <c r="Y10" s="152"/>
      <c r="Z10" s="153"/>
      <c r="AA10" s="152"/>
      <c r="AB10" s="152"/>
      <c r="AC10" s="154"/>
      <c r="AD10" s="155"/>
    </row>
    <row r="11" spans="1:30" ht="15" customHeight="1" x14ac:dyDescent="0.25">
      <c r="A11" s="515" t="s">
        <v>15</v>
      </c>
      <c r="B11" s="516"/>
      <c r="C11" s="513" t="s">
        <v>16</v>
      </c>
      <c r="D11" s="514"/>
      <c r="E11" s="514"/>
      <c r="F11" s="514"/>
      <c r="G11" s="514"/>
      <c r="H11" s="514"/>
      <c r="I11" s="186"/>
      <c r="J11" s="186"/>
      <c r="K11" s="186"/>
      <c r="L11" s="186"/>
      <c r="M11" s="186"/>
      <c r="N11" s="186"/>
      <c r="O11" s="186"/>
      <c r="P11" s="186"/>
      <c r="Q11" s="186"/>
      <c r="R11" s="186"/>
      <c r="S11" s="186"/>
      <c r="T11" s="186"/>
      <c r="U11" s="186"/>
      <c r="V11" s="186"/>
      <c r="W11" s="186"/>
      <c r="X11" s="186"/>
      <c r="Y11" s="186"/>
      <c r="Z11" s="186"/>
      <c r="AA11" s="186"/>
      <c r="AB11" s="186"/>
      <c r="AC11" s="186"/>
      <c r="AD11" s="189"/>
    </row>
    <row r="12" spans="1:30" ht="15" customHeight="1" x14ac:dyDescent="0.25">
      <c r="A12" s="517"/>
      <c r="B12" s="518"/>
      <c r="C12" s="504"/>
      <c r="D12" s="505"/>
      <c r="E12" s="505"/>
      <c r="F12" s="505"/>
      <c r="G12" s="505"/>
      <c r="H12" s="505"/>
      <c r="I12" s="65"/>
      <c r="J12" s="65"/>
      <c r="K12" s="65"/>
      <c r="L12" s="65"/>
      <c r="M12" s="65"/>
      <c r="N12" s="65"/>
      <c r="O12" s="65"/>
      <c r="P12" s="65"/>
      <c r="Q12" s="65"/>
      <c r="R12" s="65"/>
      <c r="S12" s="65"/>
      <c r="T12" s="65"/>
      <c r="U12" s="65"/>
      <c r="V12" s="65"/>
      <c r="W12" s="65"/>
      <c r="X12" s="65"/>
      <c r="Y12" s="65"/>
      <c r="Z12" s="65"/>
      <c r="AA12" s="65"/>
      <c r="AB12" s="65"/>
      <c r="AC12" s="65"/>
      <c r="AD12" s="66"/>
    </row>
    <row r="13" spans="1:30" ht="15" customHeight="1" x14ac:dyDescent="0.25">
      <c r="A13" s="519"/>
      <c r="B13" s="520"/>
      <c r="C13" s="507"/>
      <c r="D13" s="508"/>
      <c r="E13" s="508"/>
      <c r="F13" s="508"/>
      <c r="G13" s="508"/>
      <c r="H13" s="508"/>
      <c r="I13" s="184"/>
      <c r="J13" s="184"/>
      <c r="K13" s="184"/>
      <c r="L13" s="184"/>
      <c r="M13" s="184"/>
      <c r="N13" s="184"/>
      <c r="O13" s="184"/>
      <c r="P13" s="184"/>
      <c r="Q13" s="184"/>
      <c r="R13" s="184"/>
      <c r="S13" s="184"/>
      <c r="T13" s="184"/>
      <c r="U13" s="184"/>
      <c r="V13" s="184"/>
      <c r="W13" s="184"/>
      <c r="X13" s="184"/>
      <c r="Y13" s="184"/>
      <c r="Z13" s="184"/>
      <c r="AA13" s="184"/>
      <c r="AB13" s="184"/>
      <c r="AC13" s="184"/>
      <c r="AD13" s="185"/>
    </row>
    <row r="14" spans="1:30" ht="9" customHeight="1" x14ac:dyDescent="0.2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x14ac:dyDescent="0.3">
      <c r="A15" s="471" t="s">
        <v>17</v>
      </c>
      <c r="B15" s="472"/>
      <c r="C15" s="478" t="s">
        <v>18</v>
      </c>
      <c r="D15" s="479"/>
      <c r="E15" s="479"/>
      <c r="F15" s="479"/>
      <c r="G15" s="479"/>
      <c r="H15" s="479"/>
      <c r="I15" s="479"/>
      <c r="J15" s="479"/>
      <c r="K15" s="480"/>
      <c r="L15" s="484" t="s">
        <v>19</v>
      </c>
      <c r="M15" s="488"/>
      <c r="N15" s="488"/>
      <c r="O15" s="488"/>
      <c r="P15" s="488"/>
      <c r="Q15" s="485"/>
      <c r="R15" s="481" t="s">
        <v>20</v>
      </c>
      <c r="S15" s="482"/>
      <c r="T15" s="482"/>
      <c r="U15" s="482"/>
      <c r="V15" s="482"/>
      <c r="W15" s="482"/>
      <c r="X15" s="483"/>
      <c r="Y15" s="484" t="s">
        <v>21</v>
      </c>
      <c r="Z15" s="485"/>
      <c r="AA15" s="467" t="s">
        <v>22</v>
      </c>
      <c r="AB15" s="468"/>
      <c r="AC15" s="468"/>
      <c r="AD15" s="469"/>
    </row>
    <row r="16" spans="1:30" ht="9" customHeight="1" thickBot="1" x14ac:dyDescent="0.3">
      <c r="A16" s="59"/>
      <c r="B16" s="54"/>
      <c r="C16" s="470"/>
      <c r="D16" s="470"/>
      <c r="E16" s="470"/>
      <c r="F16" s="470"/>
      <c r="G16" s="470"/>
      <c r="H16" s="470"/>
      <c r="I16" s="470"/>
      <c r="J16" s="470"/>
      <c r="K16" s="470"/>
      <c r="L16" s="470"/>
      <c r="M16" s="470"/>
      <c r="N16" s="470"/>
      <c r="O16" s="470"/>
      <c r="P16" s="470"/>
      <c r="Q16" s="470"/>
      <c r="R16" s="470"/>
      <c r="S16" s="470"/>
      <c r="T16" s="470"/>
      <c r="U16" s="470"/>
      <c r="V16" s="470"/>
      <c r="W16" s="470"/>
      <c r="X16" s="470"/>
      <c r="Y16" s="470"/>
      <c r="Z16" s="470"/>
      <c r="AA16" s="470"/>
      <c r="AB16" s="470"/>
      <c r="AC16" s="73"/>
      <c r="AD16" s="74"/>
    </row>
    <row r="17" spans="1:41" s="214" customFormat="1" ht="37.5" customHeight="1" thickBot="1" x14ac:dyDescent="0.3">
      <c r="A17" s="471" t="s">
        <v>23</v>
      </c>
      <c r="B17" s="472"/>
      <c r="C17" s="473" t="s">
        <v>24</v>
      </c>
      <c r="D17" s="474"/>
      <c r="E17" s="474"/>
      <c r="F17" s="474"/>
      <c r="G17" s="474"/>
      <c r="H17" s="474"/>
      <c r="I17" s="474"/>
      <c r="J17" s="474"/>
      <c r="K17" s="474"/>
      <c r="L17" s="474"/>
      <c r="M17" s="474"/>
      <c r="N17" s="474"/>
      <c r="O17" s="474"/>
      <c r="P17" s="474"/>
      <c r="Q17" s="475"/>
      <c r="R17" s="484" t="s">
        <v>25</v>
      </c>
      <c r="S17" s="488"/>
      <c r="T17" s="488"/>
      <c r="U17" s="488"/>
      <c r="V17" s="485"/>
      <c r="W17" s="486">
        <v>0.55000000000000004</v>
      </c>
      <c r="X17" s="487"/>
      <c r="Y17" s="488" t="s">
        <v>26</v>
      </c>
      <c r="Z17" s="488"/>
      <c r="AA17" s="488"/>
      <c r="AB17" s="485"/>
      <c r="AC17" s="476">
        <v>0.18</v>
      </c>
      <c r="AD17" s="477"/>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
      <c r="A19" s="484" t="s">
        <v>27</v>
      </c>
      <c r="B19" s="488"/>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5"/>
      <c r="AE19" s="215"/>
      <c r="AF19" s="215"/>
    </row>
    <row r="20" spans="1:41" ht="32.25" customHeight="1" thickBot="1" x14ac:dyDescent="0.3">
      <c r="A20" s="246"/>
      <c r="B20" s="58"/>
      <c r="C20" s="484" t="s">
        <v>28</v>
      </c>
      <c r="D20" s="488"/>
      <c r="E20" s="488"/>
      <c r="F20" s="488"/>
      <c r="G20" s="488"/>
      <c r="H20" s="488"/>
      <c r="I20" s="488"/>
      <c r="J20" s="488"/>
      <c r="K20" s="488"/>
      <c r="L20" s="488"/>
      <c r="M20" s="488"/>
      <c r="N20" s="488"/>
      <c r="O20" s="488"/>
      <c r="P20" s="485"/>
      <c r="Q20" s="484" t="s">
        <v>29</v>
      </c>
      <c r="R20" s="488"/>
      <c r="S20" s="488"/>
      <c r="T20" s="488"/>
      <c r="U20" s="488"/>
      <c r="V20" s="488"/>
      <c r="W20" s="488"/>
      <c r="X20" s="488"/>
      <c r="Y20" s="488"/>
      <c r="Z20" s="488"/>
      <c r="AA20" s="488"/>
      <c r="AB20" s="488"/>
      <c r="AC20" s="488"/>
      <c r="AD20" s="485"/>
      <c r="AE20" s="215"/>
      <c r="AF20" s="215"/>
    </row>
    <row r="21" spans="1:41" ht="32.25" customHeight="1" thickBot="1" x14ac:dyDescent="0.3">
      <c r="A21" s="59"/>
      <c r="B21" s="247"/>
      <c r="C21" s="236" t="s">
        <v>30</v>
      </c>
      <c r="D21" s="187" t="s">
        <v>31</v>
      </c>
      <c r="E21" s="187" t="s">
        <v>32</v>
      </c>
      <c r="F21" s="187" t="s">
        <v>33</v>
      </c>
      <c r="G21" s="187" t="s">
        <v>34</v>
      </c>
      <c r="H21" s="187" t="s">
        <v>35</v>
      </c>
      <c r="I21" s="187" t="s">
        <v>8</v>
      </c>
      <c r="J21" s="187" t="s">
        <v>36</v>
      </c>
      <c r="K21" s="187" t="s">
        <v>37</v>
      </c>
      <c r="L21" s="187" t="s">
        <v>38</v>
      </c>
      <c r="M21" s="187" t="s">
        <v>39</v>
      </c>
      <c r="N21" s="187" t="s">
        <v>40</v>
      </c>
      <c r="O21" s="187" t="s">
        <v>41</v>
      </c>
      <c r="P21" s="188" t="s">
        <v>42</v>
      </c>
      <c r="Q21" s="236" t="s">
        <v>30</v>
      </c>
      <c r="R21" s="187" t="s">
        <v>31</v>
      </c>
      <c r="S21" s="187" t="s">
        <v>32</v>
      </c>
      <c r="T21" s="187" t="s">
        <v>33</v>
      </c>
      <c r="U21" s="187" t="s">
        <v>34</v>
      </c>
      <c r="V21" s="187" t="s">
        <v>35</v>
      </c>
      <c r="W21" s="187" t="s">
        <v>8</v>
      </c>
      <c r="X21" s="187" t="s">
        <v>36</v>
      </c>
      <c r="Y21" s="187" t="s">
        <v>37</v>
      </c>
      <c r="Z21" s="187" t="s">
        <v>38</v>
      </c>
      <c r="AA21" s="187" t="s">
        <v>39</v>
      </c>
      <c r="AB21" s="187" t="s">
        <v>40</v>
      </c>
      <c r="AC21" s="187" t="s">
        <v>41</v>
      </c>
      <c r="AD21" s="188" t="s">
        <v>42</v>
      </c>
      <c r="AE21" s="216"/>
      <c r="AF21" s="216"/>
    </row>
    <row r="22" spans="1:41" ht="32.25" customHeight="1" x14ac:dyDescent="0.25">
      <c r="A22" s="180" t="s">
        <v>43</v>
      </c>
      <c r="B22" s="248"/>
      <c r="C22" s="239" t="s">
        <v>44</v>
      </c>
      <c r="D22" s="239" t="s">
        <v>44</v>
      </c>
      <c r="E22" s="239" t="s">
        <v>44</v>
      </c>
      <c r="F22" s="239" t="s">
        <v>44</v>
      </c>
      <c r="G22" s="239" t="s">
        <v>44</v>
      </c>
      <c r="H22" s="239" t="s">
        <v>44</v>
      </c>
      <c r="I22" s="239" t="s">
        <v>44</v>
      </c>
      <c r="J22" s="239" t="s">
        <v>44</v>
      </c>
      <c r="K22" s="239" t="s">
        <v>44</v>
      </c>
      <c r="L22" s="239" t="s">
        <v>44</v>
      </c>
      <c r="M22" s="239" t="s">
        <v>44</v>
      </c>
      <c r="N22" s="239" t="s">
        <v>44</v>
      </c>
      <c r="O22" s="239">
        <f>SUM(C22:N22)</f>
        <v>0</v>
      </c>
      <c r="P22" s="237"/>
      <c r="Q22" s="238">
        <v>715088034.64999998</v>
      </c>
      <c r="R22" s="239"/>
      <c r="S22" s="239"/>
      <c r="T22" s="239">
        <v>8596121.9199999999</v>
      </c>
      <c r="U22" s="239">
        <v>173541499.80000001</v>
      </c>
      <c r="V22" s="239"/>
      <c r="W22" s="239"/>
      <c r="X22" s="239"/>
      <c r="Y22" s="239"/>
      <c r="Z22" s="239"/>
      <c r="AA22" s="239"/>
      <c r="AB22" s="239">
        <f>934510488-Q22-R22-S22-T22-U22-V22-W22-X22-Y22-Z22-AA22</f>
        <v>37284831.630000025</v>
      </c>
      <c r="AC22" s="239">
        <f>SUM(Q22:AB22)</f>
        <v>934510487.99999988</v>
      </c>
      <c r="AD22" s="235"/>
      <c r="AE22" s="216"/>
      <c r="AF22" s="216"/>
    </row>
    <row r="23" spans="1:41" ht="32.25" customHeight="1" x14ac:dyDescent="0.25">
      <c r="A23" s="181" t="s">
        <v>45</v>
      </c>
      <c r="B23" s="182"/>
      <c r="C23" s="238" t="s">
        <v>46</v>
      </c>
      <c r="D23" s="239" t="s">
        <v>46</v>
      </c>
      <c r="E23" s="239" t="s">
        <v>46</v>
      </c>
      <c r="F23" s="239" t="s">
        <v>46</v>
      </c>
      <c r="G23" s="239" t="s">
        <v>46</v>
      </c>
      <c r="H23" s="239" t="s">
        <v>46</v>
      </c>
      <c r="I23" s="239" t="s">
        <v>46</v>
      </c>
      <c r="J23" s="239" t="s">
        <v>46</v>
      </c>
      <c r="K23" s="239" t="s">
        <v>46</v>
      </c>
      <c r="L23" s="239" t="s">
        <v>46</v>
      </c>
      <c r="M23" s="239" t="s">
        <v>46</v>
      </c>
      <c r="N23" s="239" t="s">
        <v>46</v>
      </c>
      <c r="O23" s="241" t="s">
        <v>46</v>
      </c>
      <c r="P23" s="237"/>
      <c r="Q23" s="240">
        <v>713938735</v>
      </c>
      <c r="R23" s="241">
        <v>0</v>
      </c>
      <c r="S23" s="271">
        <f>709924390-Q23</f>
        <v>-4014345</v>
      </c>
      <c r="T23" s="241">
        <v>-403960</v>
      </c>
      <c r="U23" s="241">
        <f>717249824-Q23-R23-S23-T23</f>
        <v>7729394</v>
      </c>
      <c r="V23" s="241">
        <f>889606024-Q23-R23-S23-T23-U23</f>
        <v>172356200</v>
      </c>
      <c r="W23" s="241">
        <f>892413124-Q23-R23-S23-T23-U23-V23</f>
        <v>2807100</v>
      </c>
      <c r="X23" s="241">
        <f>892413124-Q23-R23-S23-T23-U23-V23-W23</f>
        <v>0</v>
      </c>
      <c r="Y23" s="241">
        <f>892225984-Q23-R23-S23-T23-U23-V23-W23-X23</f>
        <v>-187140</v>
      </c>
      <c r="Z23" s="241">
        <f>892225984-Q23-R23-S23-T23-U23-V23-W23-X23-Y23</f>
        <v>0</v>
      </c>
      <c r="AA23" s="241">
        <f>895741584-Q23-R23-S23-T23-U23-V23-W23-X23-Y23-Z23</f>
        <v>3515600</v>
      </c>
      <c r="AB23" s="241">
        <f>934510488-Q23-R23-S23-T23-U23-V23-W23-X23-Y23-Z23-AA23</f>
        <v>38768904</v>
      </c>
      <c r="AC23" s="271">
        <f>SUM(Q23:AB23)</f>
        <v>934510488</v>
      </c>
      <c r="AD23" s="283">
        <f>(SUM(Q23:AB23)/SUM(Q22:AB22))</f>
        <v>1.0000000000000002</v>
      </c>
      <c r="AE23" s="216"/>
      <c r="AF23" s="216"/>
    </row>
    <row r="24" spans="1:41" ht="32.25" customHeight="1" x14ac:dyDescent="0.25">
      <c r="A24" s="181" t="s">
        <v>47</v>
      </c>
      <c r="B24" s="182"/>
      <c r="C24" s="240" t="s">
        <v>44</v>
      </c>
      <c r="D24" s="241">
        <f>2786667+5000000</f>
        <v>7786667</v>
      </c>
      <c r="E24" s="241">
        <v>17886215</v>
      </c>
      <c r="F24" s="241">
        <v>17886215</v>
      </c>
      <c r="G24" s="241">
        <f>151667+1266666-443333.1-438416.67</f>
        <v>536583.23</v>
      </c>
      <c r="H24" s="239">
        <v>0</v>
      </c>
      <c r="I24" s="239">
        <v>0</v>
      </c>
      <c r="J24" s="239">
        <v>0</v>
      </c>
      <c r="K24" s="239" t="s">
        <v>44</v>
      </c>
      <c r="L24" s="239" t="s">
        <v>44</v>
      </c>
      <c r="M24" s="239" t="s">
        <v>44</v>
      </c>
      <c r="N24" s="239" t="s">
        <v>44</v>
      </c>
      <c r="O24" s="241">
        <f t="shared" ref="O24:O25" si="0">SUM(C24:N24)</f>
        <v>44095680.229999997</v>
      </c>
      <c r="P24" s="237"/>
      <c r="Q24" s="242"/>
      <c r="R24" s="241">
        <v>36810955.159999996</v>
      </c>
      <c r="S24" s="239">
        <v>64414097.493333302</v>
      </c>
      <c r="T24" s="239">
        <v>63912228.743333302</v>
      </c>
      <c r="U24" s="239">
        <v>63147378.493333302</v>
      </c>
      <c r="V24" s="239">
        <v>84746314.493333295</v>
      </c>
      <c r="W24" s="241">
        <v>88022929.493333295</v>
      </c>
      <c r="X24" s="241">
        <v>88022930.493333295</v>
      </c>
      <c r="Y24" s="241">
        <v>88022930.493333295</v>
      </c>
      <c r="Z24" s="241">
        <v>88022930.493333295</v>
      </c>
      <c r="AA24" s="241">
        <v>88022930.493333295</v>
      </c>
      <c r="AB24" s="239">
        <f>934510488-Q24-R24-S24-T24-U24-V24-W24-X24-Y24-Z24-AA24</f>
        <v>181364862.15000027</v>
      </c>
      <c r="AC24" s="241">
        <f>SUM(R24:AB24)</f>
        <v>934510488</v>
      </c>
      <c r="AD24" s="235"/>
      <c r="AE24" s="216"/>
      <c r="AF24" s="216"/>
      <c r="AG24" s="217"/>
    </row>
    <row r="25" spans="1:41" ht="32.25" customHeight="1" thickBot="1" x14ac:dyDescent="0.3">
      <c r="A25" s="183" t="s">
        <v>48</v>
      </c>
      <c r="B25" s="249"/>
      <c r="C25" s="243">
        <v>19166</v>
      </c>
      <c r="D25" s="244">
        <f>19166771-C25</f>
        <v>19147605</v>
      </c>
      <c r="E25" s="244">
        <v>5883092</v>
      </c>
      <c r="F25" s="244">
        <v>0</v>
      </c>
      <c r="G25" s="244">
        <f>44095680-C25-D25-E25-F25</f>
        <v>19045817</v>
      </c>
      <c r="H25" s="244">
        <f>44095680-C25-D25-E25-F25-G25</f>
        <v>0</v>
      </c>
      <c r="I25" s="244">
        <v>0</v>
      </c>
      <c r="J25" s="244">
        <v>0</v>
      </c>
      <c r="K25" s="244" t="s">
        <v>44</v>
      </c>
      <c r="L25" s="244" t="s">
        <v>44</v>
      </c>
      <c r="M25" s="244" t="s">
        <v>44</v>
      </c>
      <c r="N25" s="244" t="s">
        <v>44</v>
      </c>
      <c r="O25" s="258">
        <f t="shared" si="0"/>
        <v>44095680</v>
      </c>
      <c r="P25" s="282">
        <f>(SUM(C25:H25)/SUM(C24:H24))</f>
        <v>0.99999999478406965</v>
      </c>
      <c r="Q25" s="281" t="s">
        <v>44</v>
      </c>
      <c r="R25" s="280">
        <v>33877073</v>
      </c>
      <c r="S25" s="280">
        <v>62529595</v>
      </c>
      <c r="T25" s="280">
        <v>62045190</v>
      </c>
      <c r="U25" s="280">
        <f>220497048-R25-S25-T25</f>
        <v>62045190</v>
      </c>
      <c r="V25" s="280">
        <f>290271632-R25-S25-T25-U25</f>
        <v>69774584</v>
      </c>
      <c r="W25" s="280">
        <f>352316822-R25-S25-T25-U25-V25</f>
        <v>62045190</v>
      </c>
      <c r="X25" s="280">
        <f>443221984-R25-S25-T25-U25-V25-W25</f>
        <v>90905162</v>
      </c>
      <c r="Y25" s="280">
        <f>519195788-R25-S25-T25-U25-V25-W25-X25</f>
        <v>75973804</v>
      </c>
      <c r="Z25" s="280">
        <f>622562548-R25-S25-T25-U25-V25-W25-X25-Y25</f>
        <v>103366760</v>
      </c>
      <c r="AA25" s="280">
        <f>754080369-R25-S25-T25-U25-V25-W25-X25-Y25-Z25</f>
        <v>131517821</v>
      </c>
      <c r="AB25" s="258">
        <f>885545289-R25-S25-T25-U25-V25-W25-X25-Y25-Z25-AA25</f>
        <v>131464920</v>
      </c>
      <c r="AC25" s="280">
        <f>SUM(Q25:AB25)</f>
        <v>885545289</v>
      </c>
      <c r="AD25" s="282">
        <f>(SUM(Q25:AB25)/SUM(Q24:AB24))</f>
        <v>0.94760337135991568</v>
      </c>
      <c r="AE25" s="216"/>
      <c r="AF25" s="216"/>
      <c r="AG25" s="217"/>
    </row>
    <row r="26" spans="1:41" ht="32.25" customHeight="1" thickBot="1" x14ac:dyDescent="0.3">
      <c r="A26" s="59"/>
      <c r="B26" s="54"/>
      <c r="C26" s="80"/>
      <c r="D26" s="268"/>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55"/>
    </row>
    <row r="27" spans="1:41" ht="33.950000000000003" customHeight="1" x14ac:dyDescent="0.25">
      <c r="A27" s="463" t="s">
        <v>49</v>
      </c>
      <c r="B27" s="464"/>
      <c r="C27" s="465"/>
      <c r="D27" s="465"/>
      <c r="E27" s="465"/>
      <c r="F27" s="465"/>
      <c r="G27" s="465"/>
      <c r="H27" s="465"/>
      <c r="I27" s="465"/>
      <c r="J27" s="465"/>
      <c r="K27" s="465"/>
      <c r="L27" s="465"/>
      <c r="M27" s="465"/>
      <c r="N27" s="465"/>
      <c r="O27" s="465"/>
      <c r="P27" s="465"/>
      <c r="Q27" s="465"/>
      <c r="R27" s="465"/>
      <c r="S27" s="465"/>
      <c r="T27" s="465"/>
      <c r="U27" s="465"/>
      <c r="V27" s="465"/>
      <c r="W27" s="465"/>
      <c r="X27" s="465"/>
      <c r="Y27" s="465"/>
      <c r="Z27" s="465"/>
      <c r="AA27" s="465"/>
      <c r="AB27" s="465"/>
      <c r="AC27" s="465"/>
      <c r="AD27" s="466"/>
    </row>
    <row r="28" spans="1:41" ht="15" customHeight="1" x14ac:dyDescent="0.25">
      <c r="A28" s="458" t="s">
        <v>50</v>
      </c>
      <c r="B28" s="460" t="s">
        <v>51</v>
      </c>
      <c r="C28" s="461"/>
      <c r="D28" s="423" t="s">
        <v>52</v>
      </c>
      <c r="E28" s="424"/>
      <c r="F28" s="424"/>
      <c r="G28" s="424"/>
      <c r="H28" s="424"/>
      <c r="I28" s="424"/>
      <c r="J28" s="424"/>
      <c r="K28" s="424"/>
      <c r="L28" s="424"/>
      <c r="M28" s="424"/>
      <c r="N28" s="424"/>
      <c r="O28" s="462"/>
      <c r="P28" s="451" t="s">
        <v>41</v>
      </c>
      <c r="Q28" s="451" t="s">
        <v>53</v>
      </c>
      <c r="R28" s="451"/>
      <c r="S28" s="451"/>
      <c r="T28" s="451"/>
      <c r="U28" s="451"/>
      <c r="V28" s="451"/>
      <c r="W28" s="451"/>
      <c r="X28" s="451"/>
      <c r="Y28" s="451"/>
      <c r="Z28" s="451"/>
      <c r="AA28" s="451"/>
      <c r="AB28" s="451"/>
      <c r="AC28" s="451"/>
      <c r="AD28" s="453"/>
    </row>
    <row r="29" spans="1:41" ht="27" customHeight="1" x14ac:dyDescent="0.25">
      <c r="A29" s="459"/>
      <c r="B29" s="454"/>
      <c r="C29" s="456"/>
      <c r="D29" s="88" t="s">
        <v>30</v>
      </c>
      <c r="E29" s="88" t="s">
        <v>31</v>
      </c>
      <c r="F29" s="88" t="s">
        <v>32</v>
      </c>
      <c r="G29" s="88" t="s">
        <v>33</v>
      </c>
      <c r="H29" s="88" t="s">
        <v>34</v>
      </c>
      <c r="I29" s="88" t="s">
        <v>35</v>
      </c>
      <c r="J29" s="88" t="s">
        <v>8</v>
      </c>
      <c r="K29" s="88" t="s">
        <v>36</v>
      </c>
      <c r="L29" s="88" t="s">
        <v>37</v>
      </c>
      <c r="M29" s="88" t="s">
        <v>38</v>
      </c>
      <c r="N29" s="88" t="s">
        <v>39</v>
      </c>
      <c r="O29" s="88" t="s">
        <v>40</v>
      </c>
      <c r="P29" s="462"/>
      <c r="Q29" s="451"/>
      <c r="R29" s="451"/>
      <c r="S29" s="451"/>
      <c r="T29" s="451"/>
      <c r="U29" s="451"/>
      <c r="V29" s="451"/>
      <c r="W29" s="451"/>
      <c r="X29" s="451"/>
      <c r="Y29" s="451"/>
      <c r="Z29" s="451"/>
      <c r="AA29" s="451"/>
      <c r="AB29" s="451"/>
      <c r="AC29" s="451"/>
      <c r="AD29" s="453"/>
    </row>
    <row r="30" spans="1:41" ht="68.25" customHeight="1" thickBot="1" x14ac:dyDescent="0.3">
      <c r="A30" s="211" t="str">
        <f>C17</f>
        <v>Elaborar e implementar 3 lineamientos con enfoques de derechos de las mujeres, de género y diferencial</v>
      </c>
      <c r="B30" s="444">
        <v>7.0000000000000007E-2</v>
      </c>
      <c r="C30" s="445"/>
      <c r="D30" s="89"/>
      <c r="E30" s="89"/>
      <c r="F30" s="264">
        <v>7.0000000000000007E-2</v>
      </c>
      <c r="G30" s="89"/>
      <c r="H30" s="89"/>
      <c r="I30" s="89"/>
      <c r="J30" s="89"/>
      <c r="K30" s="89"/>
      <c r="L30" s="89"/>
      <c r="M30" s="89"/>
      <c r="N30" s="89"/>
      <c r="O30" s="89"/>
      <c r="P30" s="86">
        <f>SUM(D30:O30)</f>
        <v>7.0000000000000007E-2</v>
      </c>
      <c r="Q30" s="446" t="s">
        <v>54</v>
      </c>
      <c r="R30" s="446"/>
      <c r="S30" s="446"/>
      <c r="T30" s="446"/>
      <c r="U30" s="446"/>
      <c r="V30" s="446"/>
      <c r="W30" s="446"/>
      <c r="X30" s="446"/>
      <c r="Y30" s="446"/>
      <c r="Z30" s="446"/>
      <c r="AA30" s="446"/>
      <c r="AB30" s="446"/>
      <c r="AC30" s="446"/>
      <c r="AD30" s="447"/>
    </row>
    <row r="31" spans="1:41" ht="45" customHeight="1" x14ac:dyDescent="0.25">
      <c r="A31" s="448" t="s">
        <v>55</v>
      </c>
      <c r="B31" s="449"/>
      <c r="C31" s="449"/>
      <c r="D31" s="449"/>
      <c r="E31" s="449"/>
      <c r="F31" s="449"/>
      <c r="G31" s="449"/>
      <c r="H31" s="449"/>
      <c r="I31" s="449"/>
      <c r="J31" s="449"/>
      <c r="K31" s="449"/>
      <c r="L31" s="449"/>
      <c r="M31" s="449"/>
      <c r="N31" s="449"/>
      <c r="O31" s="449"/>
      <c r="P31" s="449"/>
      <c r="Q31" s="449"/>
      <c r="R31" s="449"/>
      <c r="S31" s="449"/>
      <c r="T31" s="449"/>
      <c r="U31" s="449"/>
      <c r="V31" s="449"/>
      <c r="W31" s="449"/>
      <c r="X31" s="449"/>
      <c r="Y31" s="449"/>
      <c r="Z31" s="449"/>
      <c r="AA31" s="449"/>
      <c r="AB31" s="449"/>
      <c r="AC31" s="449"/>
      <c r="AD31" s="450"/>
    </row>
    <row r="32" spans="1:41" ht="23.25" customHeight="1" x14ac:dyDescent="0.25">
      <c r="A32" s="416" t="s">
        <v>56</v>
      </c>
      <c r="B32" s="451" t="s">
        <v>57</v>
      </c>
      <c r="C32" s="451" t="s">
        <v>51</v>
      </c>
      <c r="D32" s="451" t="s">
        <v>58</v>
      </c>
      <c r="E32" s="451"/>
      <c r="F32" s="451"/>
      <c r="G32" s="451"/>
      <c r="H32" s="451"/>
      <c r="I32" s="451"/>
      <c r="J32" s="451"/>
      <c r="K32" s="451"/>
      <c r="L32" s="451"/>
      <c r="M32" s="451"/>
      <c r="N32" s="451"/>
      <c r="O32" s="451"/>
      <c r="P32" s="451"/>
      <c r="Q32" s="451" t="s">
        <v>59</v>
      </c>
      <c r="R32" s="451"/>
      <c r="S32" s="451"/>
      <c r="T32" s="451"/>
      <c r="U32" s="451"/>
      <c r="V32" s="451"/>
      <c r="W32" s="451"/>
      <c r="X32" s="451"/>
      <c r="Y32" s="451"/>
      <c r="Z32" s="451"/>
      <c r="AA32" s="451"/>
      <c r="AB32" s="451"/>
      <c r="AC32" s="451"/>
      <c r="AD32" s="453"/>
      <c r="AG32" s="218"/>
      <c r="AH32" s="218"/>
      <c r="AI32" s="218"/>
      <c r="AJ32" s="218"/>
      <c r="AK32" s="218"/>
      <c r="AL32" s="218"/>
      <c r="AM32" s="218"/>
      <c r="AN32" s="218"/>
      <c r="AO32" s="218"/>
    </row>
    <row r="33" spans="1:1008 1025:2032 2049:3056 3073:4080 4097:5104 5121:6128 6145:7152 7169:8176 8193:9200 9217:10224 10241:11248 11265:12272 12289:13296 13313:14320 14337:15344 15361:16368" ht="23.25" customHeight="1" x14ac:dyDescent="0.25">
      <c r="A33" s="416"/>
      <c r="B33" s="451"/>
      <c r="C33" s="452"/>
      <c r="D33" s="88" t="s">
        <v>30</v>
      </c>
      <c r="E33" s="88" t="s">
        <v>31</v>
      </c>
      <c r="F33" s="88" t="s">
        <v>32</v>
      </c>
      <c r="G33" s="88" t="s">
        <v>33</v>
      </c>
      <c r="H33" s="88" t="s">
        <v>34</v>
      </c>
      <c r="I33" s="88" t="s">
        <v>35</v>
      </c>
      <c r="J33" s="88" t="s">
        <v>8</v>
      </c>
      <c r="K33" s="88" t="s">
        <v>36</v>
      </c>
      <c r="L33" s="88" t="s">
        <v>37</v>
      </c>
      <c r="M33" s="88" t="s">
        <v>38</v>
      </c>
      <c r="N33" s="88" t="s">
        <v>39</v>
      </c>
      <c r="O33" s="88" t="s">
        <v>40</v>
      </c>
      <c r="P33" s="88" t="s">
        <v>41</v>
      </c>
      <c r="Q33" s="454" t="s">
        <v>60</v>
      </c>
      <c r="R33" s="455"/>
      <c r="S33" s="455"/>
      <c r="T33" s="455"/>
      <c r="U33" s="455"/>
      <c r="V33" s="456"/>
      <c r="W33" s="454" t="s">
        <v>61</v>
      </c>
      <c r="X33" s="455"/>
      <c r="Y33" s="455"/>
      <c r="Z33" s="456"/>
      <c r="AA33" s="454" t="s">
        <v>62</v>
      </c>
      <c r="AB33" s="455"/>
      <c r="AC33" s="455"/>
      <c r="AD33" s="457"/>
      <c r="AG33" s="218"/>
      <c r="AH33" s="218"/>
      <c r="AI33" s="218"/>
      <c r="AJ33" s="218"/>
      <c r="AK33" s="218"/>
      <c r="AL33" s="218"/>
      <c r="AM33" s="218"/>
      <c r="AN33" s="218"/>
      <c r="AO33" s="218"/>
    </row>
    <row r="34" spans="1:1008 1025:2032 2049:3056 3073:4080 4097:5104 5121:6128 6145:7152 7169:8176 8193:9200 9217:10224 10241:11248 11265:12272 12289:13296 13313:14320 14337:15344 15361:16368" ht="171.75" customHeight="1" x14ac:dyDescent="0.25">
      <c r="A34" s="426" t="str">
        <f>C17</f>
        <v>Elaborar e implementar 3 lineamientos con enfoques de derechos de las mujeres, de género y diferencial</v>
      </c>
      <c r="B34" s="428">
        <f>SUM(B38+B40+B42+B44+B46+B48+B50)</f>
        <v>0.18</v>
      </c>
      <c r="C34" s="90" t="s">
        <v>63</v>
      </c>
      <c r="D34" s="206">
        <f>D75</f>
        <v>1.1458333333333339E-2</v>
      </c>
      <c r="E34" s="206">
        <f t="shared" ref="E34:O34" si="1">E75</f>
        <v>4.1250000000000009E-2</v>
      </c>
      <c r="F34" s="206">
        <f t="shared" si="1"/>
        <v>6.0347222222222226E-2</v>
      </c>
      <c r="G34" s="206">
        <f t="shared" si="1"/>
        <v>6.0347222222222226E-2</v>
      </c>
      <c r="H34" s="206">
        <f t="shared" si="1"/>
        <v>6.0347222222222226E-2</v>
      </c>
      <c r="I34" s="206">
        <f t="shared" si="1"/>
        <v>4.8125000000000001E-2</v>
      </c>
      <c r="J34" s="206">
        <f t="shared" si="1"/>
        <v>4.4305555555555556E-2</v>
      </c>
      <c r="K34" s="206">
        <f t="shared" si="1"/>
        <v>4.0486111111111112E-2</v>
      </c>
      <c r="L34" s="206">
        <f t="shared" si="1"/>
        <v>2.7500000000000004E-2</v>
      </c>
      <c r="M34" s="206">
        <f t="shared" si="1"/>
        <v>2.7500000000000004E-2</v>
      </c>
      <c r="N34" s="206">
        <f t="shared" si="1"/>
        <v>4.5833333333333337E-2</v>
      </c>
      <c r="O34" s="206">
        <f t="shared" si="1"/>
        <v>8.249999999999999E-2</v>
      </c>
      <c r="P34" s="207">
        <f>SUM(D34:O34)</f>
        <v>0.55000000000000004</v>
      </c>
      <c r="Q34" s="430" t="s">
        <v>582</v>
      </c>
      <c r="R34" s="431"/>
      <c r="S34" s="431"/>
      <c r="T34" s="431"/>
      <c r="U34" s="431"/>
      <c r="V34" s="432"/>
      <c r="W34" s="436" t="s">
        <v>543</v>
      </c>
      <c r="X34" s="437"/>
      <c r="Y34" s="437"/>
      <c r="Z34" s="438"/>
      <c r="AA34" s="430" t="s">
        <v>580</v>
      </c>
      <c r="AB34" s="431"/>
      <c r="AC34" s="431"/>
      <c r="AD34" s="442"/>
      <c r="AG34" s="218"/>
      <c r="AH34" s="218"/>
      <c r="AI34" s="218"/>
      <c r="AJ34" s="218"/>
      <c r="AK34" s="218"/>
      <c r="AL34" s="218"/>
      <c r="AM34" s="218"/>
      <c r="AN34" s="218"/>
      <c r="AO34" s="218"/>
    </row>
    <row r="35" spans="1:1008 1025:2032 2049:3056 3073:4080 4097:5104 5121:6128 6145:7152 7169:8176 8193:9200 9217:10224 10241:11248 11265:12272 12289:13296 13313:14320 14337:15344 15361:16368" ht="171.75" customHeight="1" thickBot="1" x14ac:dyDescent="0.3">
      <c r="A35" s="427"/>
      <c r="B35" s="429"/>
      <c r="C35" s="91" t="s">
        <v>64</v>
      </c>
      <c r="D35" s="210">
        <f>D72</f>
        <v>1.1458333333333339E-2</v>
      </c>
      <c r="E35" s="210">
        <f t="shared" ref="E35:O35" si="2">E72</f>
        <v>4.1250000000000009E-2</v>
      </c>
      <c r="F35" s="210">
        <f t="shared" si="2"/>
        <v>6.0347222222222226E-2</v>
      </c>
      <c r="G35" s="210">
        <f t="shared" si="2"/>
        <v>6.0347222222222226E-2</v>
      </c>
      <c r="H35" s="210">
        <f t="shared" si="2"/>
        <v>6.0347222222222226E-2</v>
      </c>
      <c r="I35" s="210">
        <f t="shared" si="2"/>
        <v>4.8125000000000001E-2</v>
      </c>
      <c r="J35" s="210">
        <f t="shared" si="2"/>
        <v>4.4305555555555556E-2</v>
      </c>
      <c r="K35" s="210">
        <f t="shared" si="2"/>
        <v>3.5597222222222225E-2</v>
      </c>
      <c r="L35" s="210">
        <f t="shared" si="2"/>
        <v>3.2388888888888891E-2</v>
      </c>
      <c r="M35" s="210">
        <f t="shared" si="2"/>
        <v>2.7500000000000004E-2</v>
      </c>
      <c r="N35" s="210">
        <f t="shared" si="2"/>
        <v>4.5833333333333337E-2</v>
      </c>
      <c r="O35" s="210">
        <f t="shared" si="2"/>
        <v>8.249999999999999E-2</v>
      </c>
      <c r="P35" s="290">
        <f>SUM(D35:O35)</f>
        <v>0.55000000000000004</v>
      </c>
      <c r="Q35" s="433"/>
      <c r="R35" s="434"/>
      <c r="S35" s="434"/>
      <c r="T35" s="434"/>
      <c r="U35" s="434"/>
      <c r="V35" s="435"/>
      <c r="W35" s="439"/>
      <c r="X35" s="440"/>
      <c r="Y35" s="440"/>
      <c r="Z35" s="441"/>
      <c r="AA35" s="433"/>
      <c r="AB35" s="434"/>
      <c r="AC35" s="434"/>
      <c r="AD35" s="443"/>
      <c r="AE35" s="219"/>
      <c r="AG35" s="218"/>
      <c r="AH35" s="218"/>
      <c r="AI35" s="218"/>
      <c r="AJ35" s="218"/>
      <c r="AK35" s="218"/>
      <c r="AL35" s="218"/>
      <c r="AM35" s="218"/>
      <c r="AN35" s="218"/>
      <c r="AO35" s="218"/>
    </row>
    <row r="36" spans="1:1008 1025:2032 2049:3056 3073:4080 4097:5104 5121:6128 6145:7152 7169:8176 8193:9200 9217:10224 10241:11248 11265:12272 12289:13296 13313:14320 14337:15344 15361:16368" ht="26.25" customHeight="1" x14ac:dyDescent="0.25">
      <c r="A36" s="415" t="s">
        <v>65</v>
      </c>
      <c r="B36" s="417" t="s">
        <v>66</v>
      </c>
      <c r="C36" s="419" t="s">
        <v>67</v>
      </c>
      <c r="D36" s="419"/>
      <c r="E36" s="419"/>
      <c r="F36" s="419"/>
      <c r="G36" s="419"/>
      <c r="H36" s="419"/>
      <c r="I36" s="419"/>
      <c r="J36" s="419"/>
      <c r="K36" s="419"/>
      <c r="L36" s="419"/>
      <c r="M36" s="419"/>
      <c r="N36" s="419"/>
      <c r="O36" s="419"/>
      <c r="P36" s="419"/>
      <c r="Q36" s="420" t="s">
        <v>68</v>
      </c>
      <c r="R36" s="421"/>
      <c r="S36" s="421"/>
      <c r="T36" s="421"/>
      <c r="U36" s="421"/>
      <c r="V36" s="421"/>
      <c r="W36" s="421"/>
      <c r="X36" s="421"/>
      <c r="Y36" s="421"/>
      <c r="Z36" s="421"/>
      <c r="AA36" s="421"/>
      <c r="AB36" s="421"/>
      <c r="AC36" s="421"/>
      <c r="AD36" s="422"/>
      <c r="AG36" s="218"/>
      <c r="AH36" s="218"/>
      <c r="AI36" s="218"/>
      <c r="AJ36" s="218"/>
      <c r="AK36" s="218"/>
      <c r="AL36" s="218"/>
      <c r="AM36" s="218"/>
      <c r="AN36" s="218"/>
      <c r="AO36" s="218"/>
    </row>
    <row r="37" spans="1:1008 1025:2032 2049:3056 3073:4080 4097:5104 5121:6128 6145:7152 7169:8176 8193:9200 9217:10224 10241:11248 11265:12272 12289:13296 13313:14320 14337:15344 15361:16368" ht="35.25" customHeight="1" thickBot="1" x14ac:dyDescent="0.3">
      <c r="A37" s="416"/>
      <c r="B37" s="418"/>
      <c r="C37" s="88" t="s">
        <v>69</v>
      </c>
      <c r="D37" s="88" t="s">
        <v>70</v>
      </c>
      <c r="E37" s="88" t="s">
        <v>71</v>
      </c>
      <c r="F37" s="88" t="s">
        <v>72</v>
      </c>
      <c r="G37" s="88" t="s">
        <v>73</v>
      </c>
      <c r="H37" s="88" t="s">
        <v>74</v>
      </c>
      <c r="I37" s="88" t="s">
        <v>75</v>
      </c>
      <c r="J37" s="88" t="s">
        <v>76</v>
      </c>
      <c r="K37" s="88" t="s">
        <v>77</v>
      </c>
      <c r="L37" s="88" t="s">
        <v>78</v>
      </c>
      <c r="M37" s="88" t="s">
        <v>79</v>
      </c>
      <c r="N37" s="88" t="s">
        <v>80</v>
      </c>
      <c r="O37" s="88" t="s">
        <v>81</v>
      </c>
      <c r="P37" s="88" t="s">
        <v>82</v>
      </c>
      <c r="Q37" s="423" t="s">
        <v>83</v>
      </c>
      <c r="R37" s="424"/>
      <c r="S37" s="424"/>
      <c r="T37" s="424"/>
      <c r="U37" s="424"/>
      <c r="V37" s="424"/>
      <c r="W37" s="424"/>
      <c r="X37" s="424"/>
      <c r="Y37" s="424"/>
      <c r="Z37" s="424"/>
      <c r="AA37" s="424"/>
      <c r="AB37" s="424"/>
      <c r="AC37" s="424"/>
      <c r="AD37" s="425"/>
      <c r="AG37" s="220"/>
      <c r="AH37" s="220"/>
      <c r="AI37" s="220"/>
      <c r="AJ37" s="220"/>
      <c r="AK37" s="220"/>
      <c r="AL37" s="220"/>
      <c r="AM37" s="220"/>
      <c r="AN37" s="220"/>
      <c r="AO37" s="220"/>
    </row>
    <row r="38" spans="1:1008 1025:2032 2049:3056 3073:4080 4097:5104 5121:6128 6145:7152 7169:8176 8193:9200 9217:10224 10241:11248 11265:12272 12289:13296 13313:14320 14337:15344 15361:16368" ht="72" customHeight="1" x14ac:dyDescent="0.25">
      <c r="A38" s="396" t="s">
        <v>84</v>
      </c>
      <c r="B38" s="397">
        <v>0.05</v>
      </c>
      <c r="C38" s="90" t="s">
        <v>63</v>
      </c>
      <c r="D38" s="95">
        <v>0.05</v>
      </c>
      <c r="E38" s="95">
        <v>0.05</v>
      </c>
      <c r="F38" s="95">
        <v>0.09</v>
      </c>
      <c r="G38" s="95">
        <v>0.09</v>
      </c>
      <c r="H38" s="95">
        <v>0.09</v>
      </c>
      <c r="I38" s="95">
        <v>0.09</v>
      </c>
      <c r="J38" s="95">
        <v>0.09</v>
      </c>
      <c r="K38" s="95">
        <v>0.09</v>
      </c>
      <c r="L38" s="95">
        <v>0.09</v>
      </c>
      <c r="M38" s="95">
        <v>0.09</v>
      </c>
      <c r="N38" s="95">
        <v>0.09</v>
      </c>
      <c r="O38" s="95">
        <v>0.09</v>
      </c>
      <c r="P38" s="96">
        <f>SUM(D38:O38)</f>
        <v>0.99999999999999978</v>
      </c>
      <c r="Q38" s="384" t="s">
        <v>579</v>
      </c>
      <c r="R38" s="391"/>
      <c r="S38" s="391"/>
      <c r="T38" s="391"/>
      <c r="U38" s="391"/>
      <c r="V38" s="391"/>
      <c r="W38" s="391"/>
      <c r="X38" s="391"/>
      <c r="Y38" s="391"/>
      <c r="Z38" s="391"/>
      <c r="AA38" s="391"/>
      <c r="AB38" s="391"/>
      <c r="AC38" s="391"/>
      <c r="AD38" s="392"/>
      <c r="AE38" s="97"/>
      <c r="AG38" s="221"/>
      <c r="AH38" s="221"/>
      <c r="AI38" s="221"/>
      <c r="AJ38" s="221"/>
      <c r="AK38" s="221"/>
      <c r="AL38" s="221"/>
      <c r="AM38" s="221"/>
      <c r="AN38" s="221"/>
      <c r="AO38" s="221"/>
    </row>
    <row r="39" spans="1:1008 1025:2032 2049:3056 3073:4080 4097:5104 5121:6128 6145:7152 7169:8176 8193:9200 9217:10224 10241:11248 11265:12272 12289:13296 13313:14320 14337:15344 15361:16368" ht="72" customHeight="1" x14ac:dyDescent="0.25">
      <c r="A39" s="380"/>
      <c r="B39" s="398"/>
      <c r="C39" s="99" t="s">
        <v>64</v>
      </c>
      <c r="D39" s="100">
        <v>0.05</v>
      </c>
      <c r="E39" s="100">
        <v>0.05</v>
      </c>
      <c r="F39" s="100">
        <v>0.09</v>
      </c>
      <c r="G39" s="100">
        <v>0.09</v>
      </c>
      <c r="H39" s="100">
        <v>0.09</v>
      </c>
      <c r="I39" s="100">
        <v>0.09</v>
      </c>
      <c r="J39" s="100">
        <v>0.09</v>
      </c>
      <c r="K39" s="100">
        <v>0.09</v>
      </c>
      <c r="L39" s="100">
        <v>0.09</v>
      </c>
      <c r="M39" s="100">
        <v>0.09</v>
      </c>
      <c r="N39" s="100">
        <v>0.09</v>
      </c>
      <c r="O39" s="100">
        <v>0.09</v>
      </c>
      <c r="P39" s="101">
        <f>SUM(D39:O39)</f>
        <v>0.99999999999999978</v>
      </c>
      <c r="Q39" s="393"/>
      <c r="R39" s="394"/>
      <c r="S39" s="394"/>
      <c r="T39" s="394"/>
      <c r="U39" s="394"/>
      <c r="V39" s="394"/>
      <c r="W39" s="394"/>
      <c r="X39" s="394"/>
      <c r="Y39" s="394"/>
      <c r="Z39" s="394"/>
      <c r="AA39" s="394"/>
      <c r="AB39" s="394"/>
      <c r="AC39" s="394"/>
      <c r="AD39" s="395"/>
      <c r="AE39" s="97"/>
    </row>
    <row r="40" spans="1:1008 1025:2032 2049:3056 3073:4080 4097:5104 5121:6128 6145:7152 7169:8176 8193:9200 9217:10224 10241:11248 11265:12272 12289:13296 13313:14320 14337:15344 15361:16368" ht="72.75" customHeight="1" x14ac:dyDescent="0.25">
      <c r="A40" s="380" t="s">
        <v>85</v>
      </c>
      <c r="B40" s="381">
        <v>2.5000000000000001E-2</v>
      </c>
      <c r="C40" s="102" t="s">
        <v>63</v>
      </c>
      <c r="D40" s="103">
        <v>0</v>
      </c>
      <c r="E40" s="103">
        <v>0.05</v>
      </c>
      <c r="F40" s="103">
        <v>0.05</v>
      </c>
      <c r="G40" s="103">
        <v>0.1</v>
      </c>
      <c r="H40" s="103">
        <v>0.1</v>
      </c>
      <c r="I40" s="103">
        <v>0.1</v>
      </c>
      <c r="J40" s="103">
        <v>0.1</v>
      </c>
      <c r="K40" s="103">
        <v>0.1</v>
      </c>
      <c r="L40" s="103">
        <v>0.1</v>
      </c>
      <c r="M40" s="103">
        <v>0.1</v>
      </c>
      <c r="N40" s="103">
        <v>0.1</v>
      </c>
      <c r="O40" s="103">
        <v>0.1</v>
      </c>
      <c r="P40" s="101">
        <f t="shared" ref="P40:P50" si="3">SUM(D40:O40)</f>
        <v>0.99999999999999989</v>
      </c>
      <c r="Q40" s="405" t="s">
        <v>578</v>
      </c>
      <c r="R40" s="406"/>
      <c r="S40" s="406"/>
      <c r="T40" s="406"/>
      <c r="U40" s="406"/>
      <c r="V40" s="406"/>
      <c r="W40" s="406"/>
      <c r="X40" s="406"/>
      <c r="Y40" s="406"/>
      <c r="Z40" s="406"/>
      <c r="AA40" s="406"/>
      <c r="AB40" s="406"/>
      <c r="AC40" s="406"/>
      <c r="AD40" s="407"/>
      <c r="AE40" s="97"/>
    </row>
    <row r="41" spans="1:1008 1025:2032 2049:3056 3073:4080 4097:5104 5121:6128 6145:7152 7169:8176 8193:9200 9217:10224 10241:11248 11265:12272 12289:13296 13313:14320 14337:15344 15361:16368" ht="95.25" customHeight="1" x14ac:dyDescent="0.25">
      <c r="A41" s="380"/>
      <c r="B41" s="381"/>
      <c r="C41" s="99" t="s">
        <v>64</v>
      </c>
      <c r="D41" s="100">
        <v>0</v>
      </c>
      <c r="E41" s="100">
        <v>0.05</v>
      </c>
      <c r="F41" s="100">
        <v>0.05</v>
      </c>
      <c r="G41" s="100">
        <v>0.1</v>
      </c>
      <c r="H41" s="100">
        <v>0.1</v>
      </c>
      <c r="I41" s="100">
        <v>0.1</v>
      </c>
      <c r="J41" s="100">
        <v>0.1</v>
      </c>
      <c r="K41" s="100">
        <v>0.1</v>
      </c>
      <c r="L41" s="104">
        <v>0.1</v>
      </c>
      <c r="M41" s="104">
        <v>0.1</v>
      </c>
      <c r="N41" s="104">
        <v>0.1</v>
      </c>
      <c r="O41" s="104">
        <v>0.1</v>
      </c>
      <c r="P41" s="101">
        <f t="shared" si="3"/>
        <v>0.99999999999999989</v>
      </c>
      <c r="Q41" s="408"/>
      <c r="R41" s="409"/>
      <c r="S41" s="409"/>
      <c r="T41" s="409"/>
      <c r="U41" s="409"/>
      <c r="V41" s="409"/>
      <c r="W41" s="409"/>
      <c r="X41" s="409"/>
      <c r="Y41" s="409"/>
      <c r="Z41" s="409"/>
      <c r="AA41" s="409"/>
      <c r="AB41" s="409"/>
      <c r="AC41" s="409"/>
      <c r="AD41" s="410"/>
      <c r="AE41" s="97"/>
    </row>
    <row r="42" spans="1:1008 1025:2032 2049:3056 3073:4080 4097:5104 5121:6128 6145:7152 7169:8176 8193:9200 9217:10224 10241:11248 11265:12272 12289:13296 13313:14320 14337:15344 15361:16368" ht="75.75" customHeight="1" x14ac:dyDescent="0.25">
      <c r="A42" s="380" t="s">
        <v>86</v>
      </c>
      <c r="B42" s="381">
        <v>2.5000000000000001E-2</v>
      </c>
      <c r="C42" s="102" t="s">
        <v>63</v>
      </c>
      <c r="D42" s="103">
        <v>0.05</v>
      </c>
      <c r="E42" s="103">
        <v>0.15</v>
      </c>
      <c r="F42" s="103">
        <v>0.2</v>
      </c>
      <c r="G42" s="288">
        <v>0.15</v>
      </c>
      <c r="H42" s="288">
        <v>0.15</v>
      </c>
      <c r="I42" s="288">
        <v>0.15</v>
      </c>
      <c r="J42" s="288">
        <v>0.1</v>
      </c>
      <c r="K42" s="103">
        <v>0.05</v>
      </c>
      <c r="L42" s="103">
        <v>0</v>
      </c>
      <c r="M42" s="103">
        <v>0</v>
      </c>
      <c r="N42" s="103">
        <v>0</v>
      </c>
      <c r="O42" s="103">
        <v>0</v>
      </c>
      <c r="P42" s="101">
        <f t="shared" si="3"/>
        <v>1</v>
      </c>
      <c r="Q42" s="411" t="s">
        <v>535</v>
      </c>
      <c r="R42" s="406"/>
      <c r="S42" s="406"/>
      <c r="T42" s="406"/>
      <c r="U42" s="406"/>
      <c r="V42" s="406"/>
      <c r="W42" s="406"/>
      <c r="X42" s="406"/>
      <c r="Y42" s="406"/>
      <c r="Z42" s="406"/>
      <c r="AA42" s="406"/>
      <c r="AB42" s="406"/>
      <c r="AC42" s="406"/>
      <c r="AD42" s="407"/>
      <c r="AE42" s="97"/>
    </row>
    <row r="43" spans="1:1008 1025:2032 2049:3056 3073:4080 4097:5104 5121:6128 6145:7152 7169:8176 8193:9200 9217:10224 10241:11248 11265:12272 12289:13296 13313:14320 14337:15344 15361:16368" ht="75.75" customHeight="1" x14ac:dyDescent="0.25">
      <c r="A43" s="380"/>
      <c r="B43" s="381"/>
      <c r="C43" s="99" t="s">
        <v>64</v>
      </c>
      <c r="D43" s="100">
        <v>0.05</v>
      </c>
      <c r="E43" s="100">
        <v>0.15</v>
      </c>
      <c r="F43" s="100">
        <v>0.2</v>
      </c>
      <c r="G43" s="100">
        <v>0.15</v>
      </c>
      <c r="H43" s="100">
        <v>0.15</v>
      </c>
      <c r="I43" s="100">
        <v>0.15</v>
      </c>
      <c r="J43" s="100">
        <v>0.1</v>
      </c>
      <c r="K43" s="100">
        <v>0.05</v>
      </c>
      <c r="L43" s="104">
        <v>0</v>
      </c>
      <c r="M43" s="104">
        <v>0</v>
      </c>
      <c r="N43" s="104">
        <v>0</v>
      </c>
      <c r="O43" s="104">
        <v>0</v>
      </c>
      <c r="P43" s="101">
        <f t="shared" si="3"/>
        <v>1</v>
      </c>
      <c r="Q43" s="412"/>
      <c r="R43" s="413"/>
      <c r="S43" s="413"/>
      <c r="T43" s="413"/>
      <c r="U43" s="413"/>
      <c r="V43" s="413"/>
      <c r="W43" s="413"/>
      <c r="X43" s="413"/>
      <c r="Y43" s="413"/>
      <c r="Z43" s="413"/>
      <c r="AA43" s="413"/>
      <c r="AB43" s="413"/>
      <c r="AC43" s="413"/>
      <c r="AD43" s="414"/>
      <c r="AE43" s="97"/>
    </row>
    <row r="44" spans="1:1008 1025:2032 2049:3056 3073:4080 4097:5104 5121:6128 6145:7152 7169:8176 8193:9200 9217:10224 10241:11248 11265:12272 12289:13296 13313:14320 14337:15344 15361:16368" ht="207" customHeight="1" x14ac:dyDescent="0.25">
      <c r="A44" s="380" t="s">
        <v>87</v>
      </c>
      <c r="B44" s="381">
        <v>0.02</v>
      </c>
      <c r="C44" s="102" t="s">
        <v>63</v>
      </c>
      <c r="D44" s="103">
        <v>0</v>
      </c>
      <c r="E44" s="103">
        <v>0.1</v>
      </c>
      <c r="F44" s="103">
        <v>0.15</v>
      </c>
      <c r="G44" s="103">
        <v>0.15</v>
      </c>
      <c r="H44" s="103">
        <v>0.15</v>
      </c>
      <c r="I44" s="103">
        <v>0.15</v>
      </c>
      <c r="J44" s="103">
        <v>0.15</v>
      </c>
      <c r="K44" s="103">
        <v>0.15</v>
      </c>
      <c r="L44" s="103">
        <v>0</v>
      </c>
      <c r="M44" s="103">
        <v>0</v>
      </c>
      <c r="N44" s="103">
        <v>0</v>
      </c>
      <c r="O44" s="103">
        <v>0</v>
      </c>
      <c r="P44" s="101">
        <f t="shared" si="3"/>
        <v>1</v>
      </c>
      <c r="Q44" s="399" t="s">
        <v>537</v>
      </c>
      <c r="R44" s="400"/>
      <c r="S44" s="400"/>
      <c r="T44" s="400"/>
      <c r="U44" s="400"/>
      <c r="V44" s="400"/>
      <c r="W44" s="400"/>
      <c r="X44" s="400"/>
      <c r="Y44" s="400"/>
      <c r="Z44" s="400"/>
      <c r="AA44" s="400"/>
      <c r="AB44" s="400"/>
      <c r="AC44" s="400"/>
      <c r="AD44" s="401"/>
      <c r="AE44" s="97"/>
    </row>
    <row r="45" spans="1:1008 1025:2032 2049:3056 3073:4080 4097:5104 5121:6128 6145:7152 7169:8176 8193:9200 9217:10224 10241:11248 11265:12272 12289:13296 13313:14320 14337:15344 15361:16368" ht="207" customHeight="1" x14ac:dyDescent="0.25">
      <c r="A45" s="380"/>
      <c r="B45" s="381"/>
      <c r="C45" s="99" t="s">
        <v>64</v>
      </c>
      <c r="D45" s="100">
        <v>0</v>
      </c>
      <c r="E45" s="100">
        <v>0.1</v>
      </c>
      <c r="F45" s="100">
        <v>0.15</v>
      </c>
      <c r="G45" s="100">
        <v>0.15</v>
      </c>
      <c r="H45" s="100">
        <v>0.15</v>
      </c>
      <c r="I45" s="100">
        <v>0.15</v>
      </c>
      <c r="J45" s="100">
        <v>0.15</v>
      </c>
      <c r="K45" s="100">
        <v>7.0000000000000007E-2</v>
      </c>
      <c r="L45" s="104">
        <v>0.08</v>
      </c>
      <c r="M45" s="104">
        <v>0</v>
      </c>
      <c r="N45" s="104">
        <v>0</v>
      </c>
      <c r="O45" s="104">
        <v>0</v>
      </c>
      <c r="P45" s="101">
        <f t="shared" si="3"/>
        <v>1.0000000000000002</v>
      </c>
      <c r="Q45" s="402"/>
      <c r="R45" s="403"/>
      <c r="S45" s="403"/>
      <c r="T45" s="403"/>
      <c r="U45" s="403"/>
      <c r="V45" s="403"/>
      <c r="W45" s="403"/>
      <c r="X45" s="403"/>
      <c r="Y45" s="403"/>
      <c r="Z45" s="403"/>
      <c r="AA45" s="403"/>
      <c r="AB45" s="403"/>
      <c r="AC45" s="403"/>
      <c r="AD45" s="404"/>
      <c r="AE45" s="97"/>
    </row>
    <row r="46" spans="1:1008 1025:2032 2049:3056 3073:4080 4097:5104 5121:6128 6145:7152 7169:8176 8193:9200 9217:10224 10241:11248 11265:12272 12289:13296 13313:14320 14337:15344 15361:16368" ht="238.5" customHeight="1" x14ac:dyDescent="0.25">
      <c r="A46" s="380" t="s">
        <v>88</v>
      </c>
      <c r="B46" s="381">
        <v>0.02</v>
      </c>
      <c r="C46" s="102" t="s">
        <v>63</v>
      </c>
      <c r="D46" s="103">
        <v>0</v>
      </c>
      <c r="E46" s="103">
        <v>0.1</v>
      </c>
      <c r="F46" s="103">
        <v>0.15</v>
      </c>
      <c r="G46" s="103">
        <v>0.15</v>
      </c>
      <c r="H46" s="103">
        <v>0.15</v>
      </c>
      <c r="I46" s="291">
        <v>0.05</v>
      </c>
      <c r="J46" s="291">
        <v>0.05</v>
      </c>
      <c r="K46" s="291">
        <v>0.05</v>
      </c>
      <c r="L46" s="291">
        <v>0.05</v>
      </c>
      <c r="M46" s="291">
        <v>0.05</v>
      </c>
      <c r="N46" s="291">
        <v>0.05</v>
      </c>
      <c r="O46" s="291">
        <v>0.15</v>
      </c>
      <c r="P46" s="101">
        <f t="shared" si="3"/>
        <v>1.0000000000000002</v>
      </c>
      <c r="Q46" s="384" t="s">
        <v>605</v>
      </c>
      <c r="R46" s="385"/>
      <c r="S46" s="385"/>
      <c r="T46" s="385"/>
      <c r="U46" s="385"/>
      <c r="V46" s="385"/>
      <c r="W46" s="385"/>
      <c r="X46" s="385"/>
      <c r="Y46" s="385"/>
      <c r="Z46" s="385"/>
      <c r="AA46" s="385"/>
      <c r="AB46" s="385"/>
      <c r="AC46" s="385"/>
      <c r="AD46" s="386"/>
      <c r="AE46" s="97"/>
    </row>
    <row r="47" spans="1:1008 1025:2032 2049:3056 3073:4080 4097:5104 5121:6128 6145:7152 7169:8176 8193:9200 9217:10224 10241:11248 11265:12272 12289:13296 13313:14320 14337:15344 15361:16368" ht="277.5" customHeight="1" x14ac:dyDescent="0.25">
      <c r="A47" s="380"/>
      <c r="B47" s="381"/>
      <c r="C47" s="99" t="s">
        <v>64</v>
      </c>
      <c r="D47" s="100">
        <v>0</v>
      </c>
      <c r="E47" s="100">
        <v>0.1</v>
      </c>
      <c r="F47" s="100">
        <v>0.15</v>
      </c>
      <c r="G47" s="100">
        <v>0.15</v>
      </c>
      <c r="H47" s="100">
        <v>0.15</v>
      </c>
      <c r="I47" s="100">
        <v>0.05</v>
      </c>
      <c r="J47" s="100">
        <v>0.05</v>
      </c>
      <c r="K47" s="100">
        <v>0.05</v>
      </c>
      <c r="L47" s="104">
        <v>0.05</v>
      </c>
      <c r="M47" s="104">
        <v>0.05</v>
      </c>
      <c r="N47" s="104">
        <v>0.05</v>
      </c>
      <c r="O47" s="104">
        <v>0.15</v>
      </c>
      <c r="P47" s="101">
        <f t="shared" si="3"/>
        <v>1.0000000000000002</v>
      </c>
      <c r="Q47" s="387"/>
      <c r="R47" s="388"/>
      <c r="S47" s="388"/>
      <c r="T47" s="388"/>
      <c r="U47" s="388"/>
      <c r="V47" s="388"/>
      <c r="W47" s="388"/>
      <c r="X47" s="388"/>
      <c r="Y47" s="388"/>
      <c r="Z47" s="388"/>
      <c r="AA47" s="388"/>
      <c r="AB47" s="388"/>
      <c r="AC47" s="388"/>
      <c r="AD47" s="389"/>
      <c r="AE47" s="97"/>
    </row>
    <row r="48" spans="1:1008 1025:2032 2049:3056 3073:4080 4097:5104 5121:6128 6145:7152 7169:8176 8193:9200 9217:10224 10241:11248 11265:12272 12289:13296 13313:14320 14337:15344 15361:16368" ht="136.5" customHeight="1" x14ac:dyDescent="0.25">
      <c r="A48" s="380" t="s">
        <v>89</v>
      </c>
      <c r="B48" s="381">
        <v>0.02</v>
      </c>
      <c r="C48" s="102" t="s">
        <v>63</v>
      </c>
      <c r="D48" s="103">
        <v>0</v>
      </c>
      <c r="E48" s="103">
        <v>0.1</v>
      </c>
      <c r="F48" s="103">
        <v>0.15</v>
      </c>
      <c r="G48" s="103">
        <v>0.15</v>
      </c>
      <c r="H48" s="103">
        <v>0.15</v>
      </c>
      <c r="I48" s="291">
        <v>0.05</v>
      </c>
      <c r="J48" s="291">
        <v>0.05</v>
      </c>
      <c r="K48" s="291">
        <v>0.05</v>
      </c>
      <c r="L48" s="291">
        <v>0.05</v>
      </c>
      <c r="M48" s="291">
        <v>0.05</v>
      </c>
      <c r="N48" s="291">
        <v>0.05</v>
      </c>
      <c r="O48" s="291">
        <v>0.15</v>
      </c>
      <c r="P48" s="101">
        <f t="shared" si="3"/>
        <v>1.0000000000000002</v>
      </c>
      <c r="Q48" s="384" t="s">
        <v>566</v>
      </c>
      <c r="R48" s="385"/>
      <c r="S48" s="385"/>
      <c r="T48" s="385"/>
      <c r="U48" s="385"/>
      <c r="V48" s="385"/>
      <c r="W48" s="385"/>
      <c r="X48" s="385"/>
      <c r="Y48" s="385"/>
      <c r="Z48" s="385"/>
      <c r="AA48" s="385"/>
      <c r="AB48" s="385"/>
      <c r="AC48" s="385"/>
      <c r="AD48" s="386"/>
      <c r="AE48" s="97"/>
      <c r="AG48" s="108" t="s">
        <v>90</v>
      </c>
      <c r="AI48" s="108" t="s">
        <v>63</v>
      </c>
      <c r="AV48" s="108">
        <f t="shared" ref="AV48:AV49" si="4">SUM(AJ48:AU48)</f>
        <v>0</v>
      </c>
      <c r="BM48" s="108" t="s">
        <v>90</v>
      </c>
      <c r="BO48" s="108" t="s">
        <v>63</v>
      </c>
      <c r="CB48" s="108">
        <f t="shared" ref="CB48:CB49" si="5">SUM(BP48:CA48)</f>
        <v>0</v>
      </c>
      <c r="CS48" s="108" t="s">
        <v>90</v>
      </c>
      <c r="CU48" s="108" t="s">
        <v>63</v>
      </c>
      <c r="DH48" s="108">
        <f t="shared" ref="DH48:DH49" si="6">SUM(CV48:DG48)</f>
        <v>0</v>
      </c>
      <c r="DY48" s="108" t="s">
        <v>90</v>
      </c>
      <c r="EA48" s="108" t="s">
        <v>63</v>
      </c>
      <c r="EN48" s="108">
        <f t="shared" ref="EN48:EN49" si="7">SUM(EB48:EM48)</f>
        <v>0</v>
      </c>
      <c r="FE48" s="108" t="s">
        <v>90</v>
      </c>
      <c r="FG48" s="108" t="s">
        <v>63</v>
      </c>
      <c r="FT48" s="108">
        <f t="shared" ref="FT48:FT49" si="8">SUM(FH48:FS48)</f>
        <v>0</v>
      </c>
      <c r="GK48" s="108" t="s">
        <v>90</v>
      </c>
      <c r="GM48" s="108" t="s">
        <v>63</v>
      </c>
      <c r="GZ48" s="108">
        <f t="shared" ref="GZ48:GZ49" si="9">SUM(GN48:GY48)</f>
        <v>0</v>
      </c>
      <c r="HQ48" s="108" t="s">
        <v>90</v>
      </c>
      <c r="HS48" s="108" t="s">
        <v>63</v>
      </c>
      <c r="IF48" s="108">
        <f t="shared" ref="IF48:IF49" si="10">SUM(HT48:IE48)</f>
        <v>0</v>
      </c>
      <c r="IW48" s="108" t="s">
        <v>90</v>
      </c>
      <c r="IY48" s="108" t="s">
        <v>63</v>
      </c>
      <c r="JL48" s="108">
        <f t="shared" ref="JL48:JL49" si="11">SUM(IZ48:JK48)</f>
        <v>0</v>
      </c>
      <c r="KC48" s="108" t="s">
        <v>90</v>
      </c>
      <c r="KE48" s="108" t="s">
        <v>63</v>
      </c>
      <c r="KR48" s="108">
        <f t="shared" ref="KR48:KR49" si="12">SUM(KF48:KQ48)</f>
        <v>0</v>
      </c>
      <c r="LI48" s="108" t="s">
        <v>90</v>
      </c>
      <c r="LK48" s="108" t="s">
        <v>63</v>
      </c>
      <c r="LX48" s="108">
        <f t="shared" ref="LX48:LX49" si="13">SUM(LL48:LW48)</f>
        <v>0</v>
      </c>
      <c r="MO48" s="108" t="s">
        <v>90</v>
      </c>
      <c r="MQ48" s="108" t="s">
        <v>63</v>
      </c>
      <c r="ND48" s="108">
        <f t="shared" ref="ND48:ND49" si="14">SUM(MR48:NC48)</f>
        <v>0</v>
      </c>
      <c r="NU48" s="108" t="s">
        <v>90</v>
      </c>
      <c r="NW48" s="108" t="s">
        <v>63</v>
      </c>
      <c r="OJ48" s="108">
        <f t="shared" ref="OJ48:OJ49" si="15">SUM(NX48:OI48)</f>
        <v>0</v>
      </c>
      <c r="PA48" s="108" t="s">
        <v>90</v>
      </c>
      <c r="PC48" s="108" t="s">
        <v>63</v>
      </c>
      <c r="PP48" s="108">
        <f t="shared" ref="PP48:PP49" si="16">SUM(PD48:PO48)</f>
        <v>0</v>
      </c>
      <c r="QG48" s="108" t="s">
        <v>90</v>
      </c>
      <c r="QI48" s="108" t="s">
        <v>63</v>
      </c>
      <c r="QV48" s="108">
        <f t="shared" ref="QV48:QV49" si="17">SUM(QJ48:QU48)</f>
        <v>0</v>
      </c>
      <c r="RM48" s="108" t="s">
        <v>90</v>
      </c>
      <c r="RO48" s="108" t="s">
        <v>63</v>
      </c>
      <c r="SB48" s="108">
        <f t="shared" ref="SB48:SB49" si="18">SUM(RP48:SA48)</f>
        <v>0</v>
      </c>
      <c r="SS48" s="108" t="s">
        <v>90</v>
      </c>
      <c r="SU48" s="108" t="s">
        <v>63</v>
      </c>
      <c r="TH48" s="108">
        <f t="shared" ref="TH48:TH49" si="19">SUM(SV48:TG48)</f>
        <v>0</v>
      </c>
      <c r="TY48" s="108" t="s">
        <v>90</v>
      </c>
      <c r="UA48" s="108" t="s">
        <v>63</v>
      </c>
      <c r="UN48" s="108">
        <f t="shared" ref="UN48:UN49" si="20">SUM(UB48:UM48)</f>
        <v>0</v>
      </c>
      <c r="VE48" s="108" t="s">
        <v>90</v>
      </c>
      <c r="VG48" s="108" t="s">
        <v>63</v>
      </c>
      <c r="VT48" s="108">
        <f t="shared" ref="VT48:VT49" si="21">SUM(VH48:VS48)</f>
        <v>0</v>
      </c>
      <c r="WK48" s="108" t="s">
        <v>90</v>
      </c>
      <c r="WM48" s="108" t="s">
        <v>63</v>
      </c>
      <c r="WZ48" s="108">
        <f t="shared" ref="WZ48:WZ49" si="22">SUM(WN48:WY48)</f>
        <v>0</v>
      </c>
      <c r="XQ48" s="108" t="s">
        <v>90</v>
      </c>
      <c r="XS48" s="108" t="s">
        <v>63</v>
      </c>
      <c r="YF48" s="108">
        <f t="shared" ref="YF48:YF49" si="23">SUM(XT48:YE48)</f>
        <v>0</v>
      </c>
      <c r="YW48" s="108" t="s">
        <v>90</v>
      </c>
      <c r="YY48" s="108" t="s">
        <v>63</v>
      </c>
      <c r="ZL48" s="108">
        <f t="shared" ref="ZL48:ZL49" si="24">SUM(YZ48:ZK48)</f>
        <v>0</v>
      </c>
      <c r="AAC48" s="108" t="s">
        <v>90</v>
      </c>
      <c r="AAE48" s="108" t="s">
        <v>63</v>
      </c>
      <c r="AAR48" s="108">
        <f t="shared" ref="AAR48:AAR49" si="25">SUM(AAF48:AAQ48)</f>
        <v>0</v>
      </c>
      <c r="ABI48" s="108" t="s">
        <v>90</v>
      </c>
      <c r="ABK48" s="108" t="s">
        <v>63</v>
      </c>
      <c r="ABX48" s="108">
        <f t="shared" ref="ABX48:ABX49" si="26">SUM(ABL48:ABW48)</f>
        <v>0</v>
      </c>
      <c r="ACO48" s="108" t="s">
        <v>90</v>
      </c>
      <c r="ACQ48" s="108" t="s">
        <v>63</v>
      </c>
      <c r="ADD48" s="108">
        <f t="shared" ref="ADD48:ADD49" si="27">SUM(ACR48:ADC48)</f>
        <v>0</v>
      </c>
      <c r="ADU48" s="108" t="s">
        <v>90</v>
      </c>
      <c r="ADW48" s="108" t="s">
        <v>63</v>
      </c>
      <c r="AEJ48" s="108">
        <f t="shared" ref="AEJ48:AEJ49" si="28">SUM(ADX48:AEI48)</f>
        <v>0</v>
      </c>
      <c r="AFA48" s="108" t="s">
        <v>90</v>
      </c>
      <c r="AFC48" s="108" t="s">
        <v>63</v>
      </c>
      <c r="AFP48" s="108">
        <f t="shared" ref="AFP48:AFP49" si="29">SUM(AFD48:AFO48)</f>
        <v>0</v>
      </c>
      <c r="AGG48" s="108" t="s">
        <v>90</v>
      </c>
      <c r="AGI48" s="108" t="s">
        <v>63</v>
      </c>
      <c r="AGV48" s="108">
        <f t="shared" ref="AGV48:AGV49" si="30">SUM(AGJ48:AGU48)</f>
        <v>0</v>
      </c>
      <c r="AHM48" s="108" t="s">
        <v>90</v>
      </c>
      <c r="AHO48" s="108" t="s">
        <v>63</v>
      </c>
      <c r="AIB48" s="108">
        <f t="shared" ref="AIB48:AIB49" si="31">SUM(AHP48:AIA48)</f>
        <v>0</v>
      </c>
      <c r="AIS48" s="108" t="s">
        <v>90</v>
      </c>
      <c r="AIU48" s="108" t="s">
        <v>63</v>
      </c>
      <c r="AJH48" s="108">
        <f t="shared" ref="AJH48:AJH49" si="32">SUM(AIV48:AJG48)</f>
        <v>0</v>
      </c>
      <c r="AJY48" s="108" t="s">
        <v>90</v>
      </c>
      <c r="AKA48" s="108" t="s">
        <v>63</v>
      </c>
      <c r="AKN48" s="108">
        <f t="shared" ref="AKN48:AKN49" si="33">SUM(AKB48:AKM48)</f>
        <v>0</v>
      </c>
      <c r="ALE48" s="108" t="s">
        <v>90</v>
      </c>
      <c r="ALG48" s="108" t="s">
        <v>63</v>
      </c>
      <c r="ALT48" s="108">
        <f t="shared" ref="ALT48:ALT49" si="34">SUM(ALH48:ALS48)</f>
        <v>0</v>
      </c>
      <c r="AMK48" s="108" t="s">
        <v>90</v>
      </c>
      <c r="AMM48" s="108" t="s">
        <v>63</v>
      </c>
      <c r="AMZ48" s="108">
        <f t="shared" ref="AMZ48:AMZ49" si="35">SUM(AMN48:AMY48)</f>
        <v>0</v>
      </c>
      <c r="ANQ48" s="108" t="s">
        <v>90</v>
      </c>
      <c r="ANS48" s="108" t="s">
        <v>63</v>
      </c>
      <c r="AOF48" s="108">
        <f t="shared" ref="AOF48:AOF49" si="36">SUM(ANT48:AOE48)</f>
        <v>0</v>
      </c>
      <c r="AOW48" s="108" t="s">
        <v>90</v>
      </c>
      <c r="AOY48" s="108" t="s">
        <v>63</v>
      </c>
      <c r="APL48" s="108">
        <f t="shared" ref="APL48:APL49" si="37">SUM(AOZ48:APK48)</f>
        <v>0</v>
      </c>
      <c r="AQC48" s="108" t="s">
        <v>90</v>
      </c>
      <c r="AQE48" s="108" t="s">
        <v>63</v>
      </c>
      <c r="AQR48" s="108">
        <f t="shared" ref="AQR48:AQR49" si="38">SUM(AQF48:AQQ48)</f>
        <v>0</v>
      </c>
      <c r="ARI48" s="108" t="s">
        <v>90</v>
      </c>
      <c r="ARK48" s="108" t="s">
        <v>63</v>
      </c>
      <c r="ARX48" s="108">
        <f t="shared" ref="ARX48:ARX49" si="39">SUM(ARL48:ARW48)</f>
        <v>0</v>
      </c>
      <c r="ASO48" s="108" t="s">
        <v>90</v>
      </c>
      <c r="ASQ48" s="108" t="s">
        <v>63</v>
      </c>
      <c r="ATD48" s="108">
        <f t="shared" ref="ATD48:ATD49" si="40">SUM(ASR48:ATC48)</f>
        <v>0</v>
      </c>
      <c r="ATU48" s="108" t="s">
        <v>90</v>
      </c>
      <c r="ATW48" s="108" t="s">
        <v>63</v>
      </c>
      <c r="AUJ48" s="108">
        <f t="shared" ref="AUJ48:AUJ49" si="41">SUM(ATX48:AUI48)</f>
        <v>0</v>
      </c>
      <c r="AVA48" s="108" t="s">
        <v>90</v>
      </c>
      <c r="AVC48" s="108" t="s">
        <v>63</v>
      </c>
      <c r="AVP48" s="108">
        <f t="shared" ref="AVP48:AVP49" si="42">SUM(AVD48:AVO48)</f>
        <v>0</v>
      </c>
      <c r="AWG48" s="108" t="s">
        <v>90</v>
      </c>
      <c r="AWI48" s="108" t="s">
        <v>63</v>
      </c>
      <c r="AWV48" s="108">
        <f t="shared" ref="AWV48:AWV49" si="43">SUM(AWJ48:AWU48)</f>
        <v>0</v>
      </c>
      <c r="AXM48" s="108" t="s">
        <v>90</v>
      </c>
      <c r="AXO48" s="108" t="s">
        <v>63</v>
      </c>
      <c r="AYB48" s="108">
        <f t="shared" ref="AYB48:AYB49" si="44">SUM(AXP48:AYA48)</f>
        <v>0</v>
      </c>
      <c r="AYS48" s="108" t="s">
        <v>90</v>
      </c>
      <c r="AYU48" s="108" t="s">
        <v>63</v>
      </c>
      <c r="AZH48" s="108">
        <f t="shared" ref="AZH48:AZH49" si="45">SUM(AYV48:AZG48)</f>
        <v>0</v>
      </c>
      <c r="AZY48" s="108" t="s">
        <v>90</v>
      </c>
      <c r="BAA48" s="108" t="s">
        <v>63</v>
      </c>
      <c r="BAN48" s="108">
        <f t="shared" ref="BAN48:BAN49" si="46">SUM(BAB48:BAM48)</f>
        <v>0</v>
      </c>
      <c r="BBE48" s="108" t="s">
        <v>90</v>
      </c>
      <c r="BBG48" s="108" t="s">
        <v>63</v>
      </c>
      <c r="BBT48" s="108">
        <f t="shared" ref="BBT48:BBT49" si="47">SUM(BBH48:BBS48)</f>
        <v>0</v>
      </c>
      <c r="BCK48" s="108" t="s">
        <v>90</v>
      </c>
      <c r="BCM48" s="108" t="s">
        <v>63</v>
      </c>
      <c r="BCZ48" s="108">
        <f t="shared" ref="BCZ48:BCZ49" si="48">SUM(BCN48:BCY48)</f>
        <v>0</v>
      </c>
      <c r="BDQ48" s="108" t="s">
        <v>90</v>
      </c>
      <c r="BDS48" s="108" t="s">
        <v>63</v>
      </c>
      <c r="BEF48" s="108">
        <f t="shared" ref="BEF48:BEF49" si="49">SUM(BDT48:BEE48)</f>
        <v>0</v>
      </c>
      <c r="BEW48" s="108" t="s">
        <v>90</v>
      </c>
      <c r="BEY48" s="108" t="s">
        <v>63</v>
      </c>
      <c r="BFL48" s="108">
        <f t="shared" ref="BFL48:BFL49" si="50">SUM(BEZ48:BFK48)</f>
        <v>0</v>
      </c>
      <c r="BGC48" s="108" t="s">
        <v>90</v>
      </c>
      <c r="BGE48" s="108" t="s">
        <v>63</v>
      </c>
      <c r="BGR48" s="108">
        <f t="shared" ref="BGR48:BGR49" si="51">SUM(BGF48:BGQ48)</f>
        <v>0</v>
      </c>
      <c r="BHI48" s="108" t="s">
        <v>90</v>
      </c>
      <c r="BHK48" s="108" t="s">
        <v>63</v>
      </c>
      <c r="BHX48" s="108">
        <f t="shared" ref="BHX48:BHX49" si="52">SUM(BHL48:BHW48)</f>
        <v>0</v>
      </c>
      <c r="BIO48" s="108" t="s">
        <v>90</v>
      </c>
      <c r="BIQ48" s="108" t="s">
        <v>63</v>
      </c>
      <c r="BJD48" s="108">
        <f t="shared" ref="BJD48:BJD49" si="53">SUM(BIR48:BJC48)</f>
        <v>0</v>
      </c>
      <c r="BJU48" s="108" t="s">
        <v>90</v>
      </c>
      <c r="BJW48" s="108" t="s">
        <v>63</v>
      </c>
      <c r="BKJ48" s="108">
        <f t="shared" ref="BKJ48:BKJ49" si="54">SUM(BJX48:BKI48)</f>
        <v>0</v>
      </c>
      <c r="BLA48" s="108" t="s">
        <v>90</v>
      </c>
      <c r="BLC48" s="108" t="s">
        <v>63</v>
      </c>
      <c r="BLP48" s="108">
        <f t="shared" ref="BLP48:BLP49" si="55">SUM(BLD48:BLO48)</f>
        <v>0</v>
      </c>
      <c r="BMG48" s="108" t="s">
        <v>90</v>
      </c>
      <c r="BMI48" s="108" t="s">
        <v>63</v>
      </c>
      <c r="BMV48" s="108">
        <f t="shared" ref="BMV48:BMV49" si="56">SUM(BMJ48:BMU48)</f>
        <v>0</v>
      </c>
      <c r="BNM48" s="108" t="s">
        <v>90</v>
      </c>
      <c r="BNO48" s="108" t="s">
        <v>63</v>
      </c>
      <c r="BOB48" s="108">
        <f t="shared" ref="BOB48:BOB49" si="57">SUM(BNP48:BOA48)</f>
        <v>0</v>
      </c>
      <c r="BOS48" s="108" t="s">
        <v>90</v>
      </c>
      <c r="BOU48" s="108" t="s">
        <v>63</v>
      </c>
      <c r="BPH48" s="108">
        <f t="shared" ref="BPH48:BPH49" si="58">SUM(BOV48:BPG48)</f>
        <v>0</v>
      </c>
      <c r="BPY48" s="108" t="s">
        <v>90</v>
      </c>
      <c r="BQA48" s="108" t="s">
        <v>63</v>
      </c>
      <c r="BQN48" s="108">
        <f t="shared" ref="BQN48:BQN49" si="59">SUM(BQB48:BQM48)</f>
        <v>0</v>
      </c>
      <c r="BRE48" s="108" t="s">
        <v>90</v>
      </c>
      <c r="BRG48" s="108" t="s">
        <v>63</v>
      </c>
      <c r="BRT48" s="108">
        <f t="shared" ref="BRT48:BRT49" si="60">SUM(BRH48:BRS48)</f>
        <v>0</v>
      </c>
      <c r="BSK48" s="108" t="s">
        <v>90</v>
      </c>
      <c r="BSM48" s="108" t="s">
        <v>63</v>
      </c>
      <c r="BSZ48" s="108">
        <f t="shared" ref="BSZ48:BSZ49" si="61">SUM(BSN48:BSY48)</f>
        <v>0</v>
      </c>
      <c r="BTQ48" s="108" t="s">
        <v>90</v>
      </c>
      <c r="BTS48" s="108" t="s">
        <v>63</v>
      </c>
      <c r="BUF48" s="108">
        <f t="shared" ref="BUF48:BUF49" si="62">SUM(BTT48:BUE48)</f>
        <v>0</v>
      </c>
      <c r="BUW48" s="108" t="s">
        <v>90</v>
      </c>
      <c r="BUY48" s="108" t="s">
        <v>63</v>
      </c>
      <c r="BVL48" s="108">
        <f t="shared" ref="BVL48:BVL49" si="63">SUM(BUZ48:BVK48)</f>
        <v>0</v>
      </c>
      <c r="BWC48" s="108" t="s">
        <v>90</v>
      </c>
      <c r="BWE48" s="108" t="s">
        <v>63</v>
      </c>
      <c r="BWR48" s="108">
        <f t="shared" ref="BWR48:BWR49" si="64">SUM(BWF48:BWQ48)</f>
        <v>0</v>
      </c>
      <c r="BXI48" s="108" t="s">
        <v>90</v>
      </c>
      <c r="BXK48" s="108" t="s">
        <v>63</v>
      </c>
      <c r="BXX48" s="108">
        <f t="shared" ref="BXX48:BXX49" si="65">SUM(BXL48:BXW48)</f>
        <v>0</v>
      </c>
      <c r="BYO48" s="108" t="s">
        <v>90</v>
      </c>
      <c r="BYQ48" s="108" t="s">
        <v>63</v>
      </c>
      <c r="BZD48" s="108">
        <f t="shared" ref="BZD48:BZD49" si="66">SUM(BYR48:BZC48)</f>
        <v>0</v>
      </c>
      <c r="BZU48" s="108" t="s">
        <v>90</v>
      </c>
      <c r="BZW48" s="108" t="s">
        <v>63</v>
      </c>
      <c r="CAJ48" s="108">
        <f t="shared" ref="CAJ48:CAJ49" si="67">SUM(BZX48:CAI48)</f>
        <v>0</v>
      </c>
      <c r="CBA48" s="108" t="s">
        <v>90</v>
      </c>
      <c r="CBC48" s="108" t="s">
        <v>63</v>
      </c>
      <c r="CBP48" s="108">
        <f t="shared" ref="CBP48:CBP49" si="68">SUM(CBD48:CBO48)</f>
        <v>0</v>
      </c>
      <c r="CCG48" s="108" t="s">
        <v>90</v>
      </c>
      <c r="CCI48" s="108" t="s">
        <v>63</v>
      </c>
      <c r="CCV48" s="108">
        <f t="shared" ref="CCV48:CCV49" si="69">SUM(CCJ48:CCU48)</f>
        <v>0</v>
      </c>
      <c r="CDM48" s="108" t="s">
        <v>90</v>
      </c>
      <c r="CDO48" s="108" t="s">
        <v>63</v>
      </c>
      <c r="CEB48" s="108">
        <f t="shared" ref="CEB48:CEB49" si="70">SUM(CDP48:CEA48)</f>
        <v>0</v>
      </c>
      <c r="CES48" s="108" t="s">
        <v>90</v>
      </c>
      <c r="CEU48" s="108" t="s">
        <v>63</v>
      </c>
      <c r="CFH48" s="108">
        <f t="shared" ref="CFH48:CFH49" si="71">SUM(CEV48:CFG48)</f>
        <v>0</v>
      </c>
      <c r="CFY48" s="108" t="s">
        <v>90</v>
      </c>
      <c r="CGA48" s="108" t="s">
        <v>63</v>
      </c>
      <c r="CGN48" s="108">
        <f t="shared" ref="CGN48:CGN49" si="72">SUM(CGB48:CGM48)</f>
        <v>0</v>
      </c>
      <c r="CHE48" s="108" t="s">
        <v>90</v>
      </c>
      <c r="CHG48" s="108" t="s">
        <v>63</v>
      </c>
      <c r="CHT48" s="108">
        <f t="shared" ref="CHT48:CHT49" si="73">SUM(CHH48:CHS48)</f>
        <v>0</v>
      </c>
      <c r="CIK48" s="108" t="s">
        <v>90</v>
      </c>
      <c r="CIM48" s="108" t="s">
        <v>63</v>
      </c>
      <c r="CIZ48" s="108">
        <f t="shared" ref="CIZ48:CIZ49" si="74">SUM(CIN48:CIY48)</f>
        <v>0</v>
      </c>
      <c r="CJQ48" s="108" t="s">
        <v>90</v>
      </c>
      <c r="CJS48" s="108" t="s">
        <v>63</v>
      </c>
      <c r="CKF48" s="108">
        <f t="shared" ref="CKF48:CKF49" si="75">SUM(CJT48:CKE48)</f>
        <v>0</v>
      </c>
      <c r="CKW48" s="108" t="s">
        <v>90</v>
      </c>
      <c r="CKY48" s="108" t="s">
        <v>63</v>
      </c>
      <c r="CLL48" s="108">
        <f t="shared" ref="CLL48:CLL49" si="76">SUM(CKZ48:CLK48)</f>
        <v>0</v>
      </c>
      <c r="CMC48" s="108" t="s">
        <v>90</v>
      </c>
      <c r="CME48" s="108" t="s">
        <v>63</v>
      </c>
      <c r="CMR48" s="108">
        <f t="shared" ref="CMR48:CMR49" si="77">SUM(CMF48:CMQ48)</f>
        <v>0</v>
      </c>
      <c r="CNI48" s="108" t="s">
        <v>90</v>
      </c>
      <c r="CNK48" s="108" t="s">
        <v>63</v>
      </c>
      <c r="CNX48" s="108">
        <f t="shared" ref="CNX48:CNX49" si="78">SUM(CNL48:CNW48)</f>
        <v>0</v>
      </c>
      <c r="COO48" s="108" t="s">
        <v>90</v>
      </c>
      <c r="COQ48" s="108" t="s">
        <v>63</v>
      </c>
      <c r="CPD48" s="108">
        <f t="shared" ref="CPD48:CPD49" si="79">SUM(COR48:CPC48)</f>
        <v>0</v>
      </c>
      <c r="CPU48" s="108" t="s">
        <v>90</v>
      </c>
      <c r="CPW48" s="108" t="s">
        <v>63</v>
      </c>
      <c r="CQJ48" s="108">
        <f t="shared" ref="CQJ48:CQJ49" si="80">SUM(CPX48:CQI48)</f>
        <v>0</v>
      </c>
      <c r="CRA48" s="108" t="s">
        <v>90</v>
      </c>
      <c r="CRC48" s="108" t="s">
        <v>63</v>
      </c>
      <c r="CRP48" s="108">
        <f t="shared" ref="CRP48:CRP49" si="81">SUM(CRD48:CRO48)</f>
        <v>0</v>
      </c>
      <c r="CSG48" s="108" t="s">
        <v>90</v>
      </c>
      <c r="CSI48" s="108" t="s">
        <v>63</v>
      </c>
      <c r="CSV48" s="108">
        <f t="shared" ref="CSV48:CSV49" si="82">SUM(CSJ48:CSU48)</f>
        <v>0</v>
      </c>
      <c r="CTM48" s="108" t="s">
        <v>90</v>
      </c>
      <c r="CTO48" s="108" t="s">
        <v>63</v>
      </c>
      <c r="CUB48" s="108">
        <f t="shared" ref="CUB48:CUB49" si="83">SUM(CTP48:CUA48)</f>
        <v>0</v>
      </c>
      <c r="CUS48" s="108" t="s">
        <v>90</v>
      </c>
      <c r="CUU48" s="108" t="s">
        <v>63</v>
      </c>
      <c r="CVH48" s="108">
        <f t="shared" ref="CVH48:CVH49" si="84">SUM(CUV48:CVG48)</f>
        <v>0</v>
      </c>
      <c r="CVY48" s="108" t="s">
        <v>90</v>
      </c>
      <c r="CWA48" s="108" t="s">
        <v>63</v>
      </c>
      <c r="CWN48" s="108">
        <f t="shared" ref="CWN48:CWN49" si="85">SUM(CWB48:CWM48)</f>
        <v>0</v>
      </c>
      <c r="CXE48" s="108" t="s">
        <v>90</v>
      </c>
      <c r="CXG48" s="108" t="s">
        <v>63</v>
      </c>
      <c r="CXT48" s="108">
        <f t="shared" ref="CXT48:CXT49" si="86">SUM(CXH48:CXS48)</f>
        <v>0</v>
      </c>
      <c r="CYK48" s="108" t="s">
        <v>90</v>
      </c>
      <c r="CYM48" s="108" t="s">
        <v>63</v>
      </c>
      <c r="CYZ48" s="108">
        <f t="shared" ref="CYZ48:CYZ49" si="87">SUM(CYN48:CYY48)</f>
        <v>0</v>
      </c>
      <c r="CZQ48" s="108" t="s">
        <v>90</v>
      </c>
      <c r="CZS48" s="108" t="s">
        <v>63</v>
      </c>
      <c r="DAF48" s="108">
        <f t="shared" ref="DAF48:DAF49" si="88">SUM(CZT48:DAE48)</f>
        <v>0</v>
      </c>
      <c r="DAW48" s="108" t="s">
        <v>90</v>
      </c>
      <c r="DAY48" s="108" t="s">
        <v>63</v>
      </c>
      <c r="DBL48" s="108">
        <f t="shared" ref="DBL48:DBL49" si="89">SUM(DAZ48:DBK48)</f>
        <v>0</v>
      </c>
      <c r="DCC48" s="108" t="s">
        <v>90</v>
      </c>
      <c r="DCE48" s="108" t="s">
        <v>63</v>
      </c>
      <c r="DCR48" s="108">
        <f t="shared" ref="DCR48:DCR49" si="90">SUM(DCF48:DCQ48)</f>
        <v>0</v>
      </c>
      <c r="DDI48" s="108" t="s">
        <v>90</v>
      </c>
      <c r="DDK48" s="108" t="s">
        <v>63</v>
      </c>
      <c r="DDX48" s="108">
        <f t="shared" ref="DDX48:DDX49" si="91">SUM(DDL48:DDW48)</f>
        <v>0</v>
      </c>
      <c r="DEO48" s="108" t="s">
        <v>90</v>
      </c>
      <c r="DEQ48" s="108" t="s">
        <v>63</v>
      </c>
      <c r="DFD48" s="108">
        <f t="shared" ref="DFD48:DFD49" si="92">SUM(DER48:DFC48)</f>
        <v>0</v>
      </c>
      <c r="DFU48" s="108" t="s">
        <v>90</v>
      </c>
      <c r="DFW48" s="108" t="s">
        <v>63</v>
      </c>
      <c r="DGJ48" s="108">
        <f t="shared" ref="DGJ48:DGJ49" si="93">SUM(DFX48:DGI48)</f>
        <v>0</v>
      </c>
      <c r="DHA48" s="108" t="s">
        <v>90</v>
      </c>
      <c r="DHC48" s="108" t="s">
        <v>63</v>
      </c>
      <c r="DHP48" s="108">
        <f t="shared" ref="DHP48:DHP49" si="94">SUM(DHD48:DHO48)</f>
        <v>0</v>
      </c>
      <c r="DIG48" s="108" t="s">
        <v>90</v>
      </c>
      <c r="DII48" s="108" t="s">
        <v>63</v>
      </c>
      <c r="DIV48" s="108">
        <f t="shared" ref="DIV48:DIV49" si="95">SUM(DIJ48:DIU48)</f>
        <v>0</v>
      </c>
      <c r="DJM48" s="108" t="s">
        <v>90</v>
      </c>
      <c r="DJO48" s="108" t="s">
        <v>63</v>
      </c>
      <c r="DKB48" s="108">
        <f t="shared" ref="DKB48:DKB49" si="96">SUM(DJP48:DKA48)</f>
        <v>0</v>
      </c>
      <c r="DKS48" s="108" t="s">
        <v>90</v>
      </c>
      <c r="DKU48" s="108" t="s">
        <v>63</v>
      </c>
      <c r="DLH48" s="108">
        <f t="shared" ref="DLH48:DLH49" si="97">SUM(DKV48:DLG48)</f>
        <v>0</v>
      </c>
      <c r="DLY48" s="108" t="s">
        <v>90</v>
      </c>
      <c r="DMA48" s="108" t="s">
        <v>63</v>
      </c>
      <c r="DMN48" s="108">
        <f t="shared" ref="DMN48:DMN49" si="98">SUM(DMB48:DMM48)</f>
        <v>0</v>
      </c>
      <c r="DNE48" s="108" t="s">
        <v>90</v>
      </c>
      <c r="DNG48" s="108" t="s">
        <v>63</v>
      </c>
      <c r="DNT48" s="108">
        <f t="shared" ref="DNT48:DNT49" si="99">SUM(DNH48:DNS48)</f>
        <v>0</v>
      </c>
      <c r="DOK48" s="108" t="s">
        <v>90</v>
      </c>
      <c r="DOM48" s="108" t="s">
        <v>63</v>
      </c>
      <c r="DOZ48" s="108">
        <f t="shared" ref="DOZ48:DOZ49" si="100">SUM(DON48:DOY48)</f>
        <v>0</v>
      </c>
      <c r="DPQ48" s="108" t="s">
        <v>90</v>
      </c>
      <c r="DPS48" s="108" t="s">
        <v>63</v>
      </c>
      <c r="DQF48" s="108">
        <f t="shared" ref="DQF48:DQF49" si="101">SUM(DPT48:DQE48)</f>
        <v>0</v>
      </c>
      <c r="DQW48" s="108" t="s">
        <v>90</v>
      </c>
      <c r="DQY48" s="108" t="s">
        <v>63</v>
      </c>
      <c r="DRL48" s="108">
        <f t="shared" ref="DRL48:DRL49" si="102">SUM(DQZ48:DRK48)</f>
        <v>0</v>
      </c>
      <c r="DSC48" s="108" t="s">
        <v>90</v>
      </c>
      <c r="DSE48" s="108" t="s">
        <v>63</v>
      </c>
      <c r="DSR48" s="108">
        <f t="shared" ref="DSR48:DSR49" si="103">SUM(DSF48:DSQ48)</f>
        <v>0</v>
      </c>
      <c r="DTI48" s="108" t="s">
        <v>90</v>
      </c>
      <c r="DTK48" s="108" t="s">
        <v>63</v>
      </c>
      <c r="DTX48" s="108">
        <f t="shared" ref="DTX48:DTX49" si="104">SUM(DTL48:DTW48)</f>
        <v>0</v>
      </c>
      <c r="DUO48" s="108" t="s">
        <v>90</v>
      </c>
      <c r="DUQ48" s="108" t="s">
        <v>63</v>
      </c>
      <c r="DVD48" s="108">
        <f t="shared" ref="DVD48:DVD49" si="105">SUM(DUR48:DVC48)</f>
        <v>0</v>
      </c>
      <c r="DVU48" s="108" t="s">
        <v>90</v>
      </c>
      <c r="DVW48" s="108" t="s">
        <v>63</v>
      </c>
      <c r="DWJ48" s="108">
        <f t="shared" ref="DWJ48:DWJ49" si="106">SUM(DVX48:DWI48)</f>
        <v>0</v>
      </c>
      <c r="DXA48" s="108" t="s">
        <v>90</v>
      </c>
      <c r="DXC48" s="108" t="s">
        <v>63</v>
      </c>
      <c r="DXP48" s="108">
        <f t="shared" ref="DXP48:DXP49" si="107">SUM(DXD48:DXO48)</f>
        <v>0</v>
      </c>
      <c r="DYG48" s="108" t="s">
        <v>90</v>
      </c>
      <c r="DYI48" s="108" t="s">
        <v>63</v>
      </c>
      <c r="DYV48" s="108">
        <f t="shared" ref="DYV48:DYV49" si="108">SUM(DYJ48:DYU48)</f>
        <v>0</v>
      </c>
      <c r="DZM48" s="108" t="s">
        <v>90</v>
      </c>
      <c r="DZO48" s="108" t="s">
        <v>63</v>
      </c>
      <c r="EAB48" s="108">
        <f t="shared" ref="EAB48:EAB49" si="109">SUM(DZP48:EAA48)</f>
        <v>0</v>
      </c>
      <c r="EAS48" s="108" t="s">
        <v>90</v>
      </c>
      <c r="EAU48" s="108" t="s">
        <v>63</v>
      </c>
      <c r="EBH48" s="108">
        <f t="shared" ref="EBH48:EBH49" si="110">SUM(EAV48:EBG48)</f>
        <v>0</v>
      </c>
      <c r="EBY48" s="108" t="s">
        <v>90</v>
      </c>
      <c r="ECA48" s="108" t="s">
        <v>63</v>
      </c>
      <c r="ECN48" s="108">
        <f t="shared" ref="ECN48:ECN49" si="111">SUM(ECB48:ECM48)</f>
        <v>0</v>
      </c>
      <c r="EDE48" s="108" t="s">
        <v>90</v>
      </c>
      <c r="EDG48" s="108" t="s">
        <v>63</v>
      </c>
      <c r="EDT48" s="108">
        <f t="shared" ref="EDT48:EDT49" si="112">SUM(EDH48:EDS48)</f>
        <v>0</v>
      </c>
      <c r="EEK48" s="108" t="s">
        <v>90</v>
      </c>
      <c r="EEM48" s="108" t="s">
        <v>63</v>
      </c>
      <c r="EEZ48" s="108">
        <f t="shared" ref="EEZ48:EEZ49" si="113">SUM(EEN48:EEY48)</f>
        <v>0</v>
      </c>
      <c r="EFQ48" s="108" t="s">
        <v>90</v>
      </c>
      <c r="EFS48" s="108" t="s">
        <v>63</v>
      </c>
      <c r="EGF48" s="108">
        <f t="shared" ref="EGF48:EGF49" si="114">SUM(EFT48:EGE48)</f>
        <v>0</v>
      </c>
      <c r="EGW48" s="108" t="s">
        <v>90</v>
      </c>
      <c r="EGY48" s="108" t="s">
        <v>63</v>
      </c>
      <c r="EHL48" s="108">
        <f t="shared" ref="EHL48:EHL49" si="115">SUM(EGZ48:EHK48)</f>
        <v>0</v>
      </c>
      <c r="EIC48" s="108" t="s">
        <v>90</v>
      </c>
      <c r="EIE48" s="108" t="s">
        <v>63</v>
      </c>
      <c r="EIR48" s="108">
        <f t="shared" ref="EIR48:EIR49" si="116">SUM(EIF48:EIQ48)</f>
        <v>0</v>
      </c>
      <c r="EJI48" s="108" t="s">
        <v>90</v>
      </c>
      <c r="EJK48" s="108" t="s">
        <v>63</v>
      </c>
      <c r="EJX48" s="108">
        <f t="shared" ref="EJX48:EJX49" si="117">SUM(EJL48:EJW48)</f>
        <v>0</v>
      </c>
      <c r="EKO48" s="108" t="s">
        <v>90</v>
      </c>
      <c r="EKQ48" s="108" t="s">
        <v>63</v>
      </c>
      <c r="ELD48" s="108">
        <f t="shared" ref="ELD48:ELD49" si="118">SUM(EKR48:ELC48)</f>
        <v>0</v>
      </c>
      <c r="ELU48" s="108" t="s">
        <v>90</v>
      </c>
      <c r="ELW48" s="108" t="s">
        <v>63</v>
      </c>
      <c r="EMJ48" s="108">
        <f t="shared" ref="EMJ48:EMJ49" si="119">SUM(ELX48:EMI48)</f>
        <v>0</v>
      </c>
      <c r="ENA48" s="108" t="s">
        <v>90</v>
      </c>
      <c r="ENC48" s="108" t="s">
        <v>63</v>
      </c>
      <c r="ENP48" s="108">
        <f t="shared" ref="ENP48:ENP49" si="120">SUM(END48:ENO48)</f>
        <v>0</v>
      </c>
      <c r="EOG48" s="108" t="s">
        <v>90</v>
      </c>
      <c r="EOI48" s="108" t="s">
        <v>63</v>
      </c>
      <c r="EOV48" s="108">
        <f t="shared" ref="EOV48:EOV49" si="121">SUM(EOJ48:EOU48)</f>
        <v>0</v>
      </c>
      <c r="EPM48" s="108" t="s">
        <v>90</v>
      </c>
      <c r="EPO48" s="108" t="s">
        <v>63</v>
      </c>
      <c r="EQB48" s="108">
        <f t="shared" ref="EQB48:EQB49" si="122">SUM(EPP48:EQA48)</f>
        <v>0</v>
      </c>
      <c r="EQS48" s="108" t="s">
        <v>90</v>
      </c>
      <c r="EQU48" s="108" t="s">
        <v>63</v>
      </c>
      <c r="ERH48" s="108">
        <f t="shared" ref="ERH48:ERH49" si="123">SUM(EQV48:ERG48)</f>
        <v>0</v>
      </c>
      <c r="ERY48" s="108" t="s">
        <v>90</v>
      </c>
      <c r="ESA48" s="108" t="s">
        <v>63</v>
      </c>
      <c r="ESN48" s="108">
        <f t="shared" ref="ESN48:ESN49" si="124">SUM(ESB48:ESM48)</f>
        <v>0</v>
      </c>
      <c r="ETE48" s="108" t="s">
        <v>90</v>
      </c>
      <c r="ETG48" s="108" t="s">
        <v>63</v>
      </c>
      <c r="ETT48" s="108">
        <f t="shared" ref="ETT48:ETT49" si="125">SUM(ETH48:ETS48)</f>
        <v>0</v>
      </c>
      <c r="EUK48" s="108" t="s">
        <v>90</v>
      </c>
      <c r="EUM48" s="108" t="s">
        <v>63</v>
      </c>
      <c r="EUZ48" s="108">
        <f t="shared" ref="EUZ48:EUZ49" si="126">SUM(EUN48:EUY48)</f>
        <v>0</v>
      </c>
      <c r="EVQ48" s="108" t="s">
        <v>90</v>
      </c>
      <c r="EVS48" s="108" t="s">
        <v>63</v>
      </c>
      <c r="EWF48" s="108">
        <f t="shared" ref="EWF48:EWF49" si="127">SUM(EVT48:EWE48)</f>
        <v>0</v>
      </c>
      <c r="EWW48" s="108" t="s">
        <v>90</v>
      </c>
      <c r="EWY48" s="108" t="s">
        <v>63</v>
      </c>
      <c r="EXL48" s="108">
        <f t="shared" ref="EXL48:EXL49" si="128">SUM(EWZ48:EXK48)</f>
        <v>0</v>
      </c>
      <c r="EYC48" s="108" t="s">
        <v>90</v>
      </c>
      <c r="EYE48" s="108" t="s">
        <v>63</v>
      </c>
      <c r="EYR48" s="108">
        <f t="shared" ref="EYR48:EYR49" si="129">SUM(EYF48:EYQ48)</f>
        <v>0</v>
      </c>
      <c r="EZI48" s="108" t="s">
        <v>90</v>
      </c>
      <c r="EZK48" s="108" t="s">
        <v>63</v>
      </c>
      <c r="EZX48" s="108">
        <f t="shared" ref="EZX48:EZX49" si="130">SUM(EZL48:EZW48)</f>
        <v>0</v>
      </c>
      <c r="FAO48" s="108" t="s">
        <v>90</v>
      </c>
      <c r="FAQ48" s="108" t="s">
        <v>63</v>
      </c>
      <c r="FBD48" s="108">
        <f t="shared" ref="FBD48:FBD49" si="131">SUM(FAR48:FBC48)</f>
        <v>0</v>
      </c>
      <c r="FBU48" s="108" t="s">
        <v>90</v>
      </c>
      <c r="FBW48" s="108" t="s">
        <v>63</v>
      </c>
      <c r="FCJ48" s="108">
        <f t="shared" ref="FCJ48:FCJ49" si="132">SUM(FBX48:FCI48)</f>
        <v>0</v>
      </c>
      <c r="FDA48" s="108" t="s">
        <v>90</v>
      </c>
      <c r="FDC48" s="108" t="s">
        <v>63</v>
      </c>
      <c r="FDP48" s="108">
        <f t="shared" ref="FDP48:FDP49" si="133">SUM(FDD48:FDO48)</f>
        <v>0</v>
      </c>
      <c r="FEG48" s="108" t="s">
        <v>90</v>
      </c>
      <c r="FEI48" s="108" t="s">
        <v>63</v>
      </c>
      <c r="FEV48" s="108">
        <f t="shared" ref="FEV48:FEV49" si="134">SUM(FEJ48:FEU48)</f>
        <v>0</v>
      </c>
      <c r="FFM48" s="108" t="s">
        <v>90</v>
      </c>
      <c r="FFO48" s="108" t="s">
        <v>63</v>
      </c>
      <c r="FGB48" s="108">
        <f t="shared" ref="FGB48:FGB49" si="135">SUM(FFP48:FGA48)</f>
        <v>0</v>
      </c>
      <c r="FGS48" s="108" t="s">
        <v>90</v>
      </c>
      <c r="FGU48" s="108" t="s">
        <v>63</v>
      </c>
      <c r="FHH48" s="108">
        <f t="shared" ref="FHH48:FHH49" si="136">SUM(FGV48:FHG48)</f>
        <v>0</v>
      </c>
      <c r="FHY48" s="108" t="s">
        <v>90</v>
      </c>
      <c r="FIA48" s="108" t="s">
        <v>63</v>
      </c>
      <c r="FIN48" s="108">
        <f t="shared" ref="FIN48:FIN49" si="137">SUM(FIB48:FIM48)</f>
        <v>0</v>
      </c>
      <c r="FJE48" s="108" t="s">
        <v>90</v>
      </c>
      <c r="FJG48" s="108" t="s">
        <v>63</v>
      </c>
      <c r="FJT48" s="108">
        <f t="shared" ref="FJT48:FJT49" si="138">SUM(FJH48:FJS48)</f>
        <v>0</v>
      </c>
      <c r="FKK48" s="108" t="s">
        <v>90</v>
      </c>
      <c r="FKM48" s="108" t="s">
        <v>63</v>
      </c>
      <c r="FKZ48" s="108">
        <f t="shared" ref="FKZ48:FKZ49" si="139">SUM(FKN48:FKY48)</f>
        <v>0</v>
      </c>
      <c r="FLQ48" s="108" t="s">
        <v>90</v>
      </c>
      <c r="FLS48" s="108" t="s">
        <v>63</v>
      </c>
      <c r="FMF48" s="108">
        <f t="shared" ref="FMF48:FMF49" si="140">SUM(FLT48:FME48)</f>
        <v>0</v>
      </c>
      <c r="FMW48" s="108" t="s">
        <v>90</v>
      </c>
      <c r="FMY48" s="108" t="s">
        <v>63</v>
      </c>
      <c r="FNL48" s="108">
        <f t="shared" ref="FNL48:FNL49" si="141">SUM(FMZ48:FNK48)</f>
        <v>0</v>
      </c>
      <c r="FOC48" s="108" t="s">
        <v>90</v>
      </c>
      <c r="FOE48" s="108" t="s">
        <v>63</v>
      </c>
      <c r="FOR48" s="108">
        <f t="shared" ref="FOR48:FOR49" si="142">SUM(FOF48:FOQ48)</f>
        <v>0</v>
      </c>
      <c r="FPI48" s="108" t="s">
        <v>90</v>
      </c>
      <c r="FPK48" s="108" t="s">
        <v>63</v>
      </c>
      <c r="FPX48" s="108">
        <f t="shared" ref="FPX48:FPX49" si="143">SUM(FPL48:FPW48)</f>
        <v>0</v>
      </c>
      <c r="FQO48" s="108" t="s">
        <v>90</v>
      </c>
      <c r="FQQ48" s="108" t="s">
        <v>63</v>
      </c>
      <c r="FRD48" s="108">
        <f t="shared" ref="FRD48:FRD49" si="144">SUM(FQR48:FRC48)</f>
        <v>0</v>
      </c>
      <c r="FRU48" s="108" t="s">
        <v>90</v>
      </c>
      <c r="FRW48" s="108" t="s">
        <v>63</v>
      </c>
      <c r="FSJ48" s="108">
        <f t="shared" ref="FSJ48:FSJ49" si="145">SUM(FRX48:FSI48)</f>
        <v>0</v>
      </c>
      <c r="FTA48" s="108" t="s">
        <v>90</v>
      </c>
      <c r="FTC48" s="108" t="s">
        <v>63</v>
      </c>
      <c r="FTP48" s="108">
        <f t="shared" ref="FTP48:FTP49" si="146">SUM(FTD48:FTO48)</f>
        <v>0</v>
      </c>
      <c r="FUG48" s="108" t="s">
        <v>90</v>
      </c>
      <c r="FUI48" s="108" t="s">
        <v>63</v>
      </c>
      <c r="FUV48" s="108">
        <f t="shared" ref="FUV48:FUV49" si="147">SUM(FUJ48:FUU48)</f>
        <v>0</v>
      </c>
      <c r="FVM48" s="108" t="s">
        <v>90</v>
      </c>
      <c r="FVO48" s="108" t="s">
        <v>63</v>
      </c>
      <c r="FWB48" s="108">
        <f t="shared" ref="FWB48:FWB49" si="148">SUM(FVP48:FWA48)</f>
        <v>0</v>
      </c>
      <c r="FWS48" s="108" t="s">
        <v>90</v>
      </c>
      <c r="FWU48" s="108" t="s">
        <v>63</v>
      </c>
      <c r="FXH48" s="108">
        <f t="shared" ref="FXH48:FXH49" si="149">SUM(FWV48:FXG48)</f>
        <v>0</v>
      </c>
      <c r="FXY48" s="108" t="s">
        <v>90</v>
      </c>
      <c r="FYA48" s="108" t="s">
        <v>63</v>
      </c>
      <c r="FYN48" s="108">
        <f t="shared" ref="FYN48:FYN49" si="150">SUM(FYB48:FYM48)</f>
        <v>0</v>
      </c>
      <c r="FZE48" s="108" t="s">
        <v>90</v>
      </c>
      <c r="FZG48" s="108" t="s">
        <v>63</v>
      </c>
      <c r="FZT48" s="108">
        <f t="shared" ref="FZT48:FZT49" si="151">SUM(FZH48:FZS48)</f>
        <v>0</v>
      </c>
      <c r="GAK48" s="108" t="s">
        <v>90</v>
      </c>
      <c r="GAM48" s="108" t="s">
        <v>63</v>
      </c>
      <c r="GAZ48" s="108">
        <f t="shared" ref="GAZ48:GAZ49" si="152">SUM(GAN48:GAY48)</f>
        <v>0</v>
      </c>
      <c r="GBQ48" s="108" t="s">
        <v>90</v>
      </c>
      <c r="GBS48" s="108" t="s">
        <v>63</v>
      </c>
      <c r="GCF48" s="108">
        <f t="shared" ref="GCF48:GCF49" si="153">SUM(GBT48:GCE48)</f>
        <v>0</v>
      </c>
      <c r="GCW48" s="108" t="s">
        <v>90</v>
      </c>
      <c r="GCY48" s="108" t="s">
        <v>63</v>
      </c>
      <c r="GDL48" s="108">
        <f t="shared" ref="GDL48:GDL49" si="154">SUM(GCZ48:GDK48)</f>
        <v>0</v>
      </c>
      <c r="GEC48" s="108" t="s">
        <v>90</v>
      </c>
      <c r="GEE48" s="108" t="s">
        <v>63</v>
      </c>
      <c r="GER48" s="108">
        <f t="shared" ref="GER48:GER49" si="155">SUM(GEF48:GEQ48)</f>
        <v>0</v>
      </c>
      <c r="GFI48" s="108" t="s">
        <v>90</v>
      </c>
      <c r="GFK48" s="108" t="s">
        <v>63</v>
      </c>
      <c r="GFX48" s="108">
        <f t="shared" ref="GFX48:GFX49" si="156">SUM(GFL48:GFW48)</f>
        <v>0</v>
      </c>
      <c r="GGO48" s="108" t="s">
        <v>90</v>
      </c>
      <c r="GGQ48" s="108" t="s">
        <v>63</v>
      </c>
      <c r="GHD48" s="108">
        <f t="shared" ref="GHD48:GHD49" si="157">SUM(GGR48:GHC48)</f>
        <v>0</v>
      </c>
      <c r="GHU48" s="108" t="s">
        <v>90</v>
      </c>
      <c r="GHW48" s="108" t="s">
        <v>63</v>
      </c>
      <c r="GIJ48" s="108">
        <f t="shared" ref="GIJ48:GIJ49" si="158">SUM(GHX48:GII48)</f>
        <v>0</v>
      </c>
      <c r="GJA48" s="108" t="s">
        <v>90</v>
      </c>
      <c r="GJC48" s="108" t="s">
        <v>63</v>
      </c>
      <c r="GJP48" s="108">
        <f t="shared" ref="GJP48:GJP49" si="159">SUM(GJD48:GJO48)</f>
        <v>0</v>
      </c>
      <c r="GKG48" s="108" t="s">
        <v>90</v>
      </c>
      <c r="GKI48" s="108" t="s">
        <v>63</v>
      </c>
      <c r="GKV48" s="108">
        <f t="shared" ref="GKV48:GKV49" si="160">SUM(GKJ48:GKU48)</f>
        <v>0</v>
      </c>
      <c r="GLM48" s="108" t="s">
        <v>90</v>
      </c>
      <c r="GLO48" s="108" t="s">
        <v>63</v>
      </c>
      <c r="GMB48" s="108">
        <f t="shared" ref="GMB48:GMB49" si="161">SUM(GLP48:GMA48)</f>
        <v>0</v>
      </c>
      <c r="GMS48" s="108" t="s">
        <v>90</v>
      </c>
      <c r="GMU48" s="108" t="s">
        <v>63</v>
      </c>
      <c r="GNH48" s="108">
        <f t="shared" ref="GNH48:GNH49" si="162">SUM(GMV48:GNG48)</f>
        <v>0</v>
      </c>
      <c r="GNY48" s="108" t="s">
        <v>90</v>
      </c>
      <c r="GOA48" s="108" t="s">
        <v>63</v>
      </c>
      <c r="GON48" s="108">
        <f t="shared" ref="GON48:GON49" si="163">SUM(GOB48:GOM48)</f>
        <v>0</v>
      </c>
      <c r="GPE48" s="108" t="s">
        <v>90</v>
      </c>
      <c r="GPG48" s="108" t="s">
        <v>63</v>
      </c>
      <c r="GPT48" s="108">
        <f t="shared" ref="GPT48:GPT49" si="164">SUM(GPH48:GPS48)</f>
        <v>0</v>
      </c>
      <c r="GQK48" s="108" t="s">
        <v>90</v>
      </c>
      <c r="GQM48" s="108" t="s">
        <v>63</v>
      </c>
      <c r="GQZ48" s="108">
        <f t="shared" ref="GQZ48:GQZ49" si="165">SUM(GQN48:GQY48)</f>
        <v>0</v>
      </c>
      <c r="GRQ48" s="108" t="s">
        <v>90</v>
      </c>
      <c r="GRS48" s="108" t="s">
        <v>63</v>
      </c>
      <c r="GSF48" s="108">
        <f t="shared" ref="GSF48:GSF49" si="166">SUM(GRT48:GSE48)</f>
        <v>0</v>
      </c>
      <c r="GSW48" s="108" t="s">
        <v>90</v>
      </c>
      <c r="GSY48" s="108" t="s">
        <v>63</v>
      </c>
      <c r="GTL48" s="108">
        <f t="shared" ref="GTL48:GTL49" si="167">SUM(GSZ48:GTK48)</f>
        <v>0</v>
      </c>
      <c r="GUC48" s="108" t="s">
        <v>90</v>
      </c>
      <c r="GUE48" s="108" t="s">
        <v>63</v>
      </c>
      <c r="GUR48" s="108">
        <f t="shared" ref="GUR48:GUR49" si="168">SUM(GUF48:GUQ48)</f>
        <v>0</v>
      </c>
      <c r="GVI48" s="108" t="s">
        <v>90</v>
      </c>
      <c r="GVK48" s="108" t="s">
        <v>63</v>
      </c>
      <c r="GVX48" s="108">
        <f t="shared" ref="GVX48:GVX49" si="169">SUM(GVL48:GVW48)</f>
        <v>0</v>
      </c>
      <c r="GWO48" s="108" t="s">
        <v>90</v>
      </c>
      <c r="GWQ48" s="108" t="s">
        <v>63</v>
      </c>
      <c r="GXD48" s="108">
        <f t="shared" ref="GXD48:GXD49" si="170">SUM(GWR48:GXC48)</f>
        <v>0</v>
      </c>
      <c r="GXU48" s="108" t="s">
        <v>90</v>
      </c>
      <c r="GXW48" s="108" t="s">
        <v>63</v>
      </c>
      <c r="GYJ48" s="108">
        <f t="shared" ref="GYJ48:GYJ49" si="171">SUM(GXX48:GYI48)</f>
        <v>0</v>
      </c>
      <c r="GZA48" s="108" t="s">
        <v>90</v>
      </c>
      <c r="GZC48" s="108" t="s">
        <v>63</v>
      </c>
      <c r="GZP48" s="108">
        <f t="shared" ref="GZP48:GZP49" si="172">SUM(GZD48:GZO48)</f>
        <v>0</v>
      </c>
      <c r="HAG48" s="108" t="s">
        <v>90</v>
      </c>
      <c r="HAI48" s="108" t="s">
        <v>63</v>
      </c>
      <c r="HAV48" s="108">
        <f t="shared" ref="HAV48:HAV49" si="173">SUM(HAJ48:HAU48)</f>
        <v>0</v>
      </c>
      <c r="HBM48" s="108" t="s">
        <v>90</v>
      </c>
      <c r="HBO48" s="108" t="s">
        <v>63</v>
      </c>
      <c r="HCB48" s="108">
        <f t="shared" ref="HCB48:HCB49" si="174">SUM(HBP48:HCA48)</f>
        <v>0</v>
      </c>
      <c r="HCS48" s="108" t="s">
        <v>90</v>
      </c>
      <c r="HCU48" s="108" t="s">
        <v>63</v>
      </c>
      <c r="HDH48" s="108">
        <f t="shared" ref="HDH48:HDH49" si="175">SUM(HCV48:HDG48)</f>
        <v>0</v>
      </c>
      <c r="HDY48" s="108" t="s">
        <v>90</v>
      </c>
      <c r="HEA48" s="108" t="s">
        <v>63</v>
      </c>
      <c r="HEN48" s="108">
        <f t="shared" ref="HEN48:HEN49" si="176">SUM(HEB48:HEM48)</f>
        <v>0</v>
      </c>
      <c r="HFE48" s="108" t="s">
        <v>90</v>
      </c>
      <c r="HFG48" s="108" t="s">
        <v>63</v>
      </c>
      <c r="HFT48" s="108">
        <f t="shared" ref="HFT48:HFT49" si="177">SUM(HFH48:HFS48)</f>
        <v>0</v>
      </c>
      <c r="HGK48" s="108" t="s">
        <v>90</v>
      </c>
      <c r="HGM48" s="108" t="s">
        <v>63</v>
      </c>
      <c r="HGZ48" s="108">
        <f t="shared" ref="HGZ48:HGZ49" si="178">SUM(HGN48:HGY48)</f>
        <v>0</v>
      </c>
      <c r="HHQ48" s="108" t="s">
        <v>90</v>
      </c>
      <c r="HHS48" s="108" t="s">
        <v>63</v>
      </c>
      <c r="HIF48" s="108">
        <f t="shared" ref="HIF48:HIF49" si="179">SUM(HHT48:HIE48)</f>
        <v>0</v>
      </c>
      <c r="HIW48" s="108" t="s">
        <v>90</v>
      </c>
      <c r="HIY48" s="108" t="s">
        <v>63</v>
      </c>
      <c r="HJL48" s="108">
        <f t="shared" ref="HJL48:HJL49" si="180">SUM(HIZ48:HJK48)</f>
        <v>0</v>
      </c>
      <c r="HKC48" s="108" t="s">
        <v>90</v>
      </c>
      <c r="HKE48" s="108" t="s">
        <v>63</v>
      </c>
      <c r="HKR48" s="108">
        <f t="shared" ref="HKR48:HKR49" si="181">SUM(HKF48:HKQ48)</f>
        <v>0</v>
      </c>
      <c r="HLI48" s="108" t="s">
        <v>90</v>
      </c>
      <c r="HLK48" s="108" t="s">
        <v>63</v>
      </c>
      <c r="HLX48" s="108">
        <f t="shared" ref="HLX48:HLX49" si="182">SUM(HLL48:HLW48)</f>
        <v>0</v>
      </c>
      <c r="HMO48" s="108" t="s">
        <v>90</v>
      </c>
      <c r="HMQ48" s="108" t="s">
        <v>63</v>
      </c>
      <c r="HND48" s="108">
        <f t="shared" ref="HND48:HND49" si="183">SUM(HMR48:HNC48)</f>
        <v>0</v>
      </c>
      <c r="HNU48" s="108" t="s">
        <v>90</v>
      </c>
      <c r="HNW48" s="108" t="s">
        <v>63</v>
      </c>
      <c r="HOJ48" s="108">
        <f t="shared" ref="HOJ48:HOJ49" si="184">SUM(HNX48:HOI48)</f>
        <v>0</v>
      </c>
      <c r="HPA48" s="108" t="s">
        <v>90</v>
      </c>
      <c r="HPC48" s="108" t="s">
        <v>63</v>
      </c>
      <c r="HPP48" s="108">
        <f t="shared" ref="HPP48:HPP49" si="185">SUM(HPD48:HPO48)</f>
        <v>0</v>
      </c>
      <c r="HQG48" s="108" t="s">
        <v>90</v>
      </c>
      <c r="HQI48" s="108" t="s">
        <v>63</v>
      </c>
      <c r="HQV48" s="108">
        <f t="shared" ref="HQV48:HQV49" si="186">SUM(HQJ48:HQU48)</f>
        <v>0</v>
      </c>
      <c r="HRM48" s="108" t="s">
        <v>90</v>
      </c>
      <c r="HRO48" s="108" t="s">
        <v>63</v>
      </c>
      <c r="HSB48" s="108">
        <f t="shared" ref="HSB48:HSB49" si="187">SUM(HRP48:HSA48)</f>
        <v>0</v>
      </c>
      <c r="HSS48" s="108" t="s">
        <v>90</v>
      </c>
      <c r="HSU48" s="108" t="s">
        <v>63</v>
      </c>
      <c r="HTH48" s="108">
        <f t="shared" ref="HTH48:HTH49" si="188">SUM(HSV48:HTG48)</f>
        <v>0</v>
      </c>
      <c r="HTY48" s="108" t="s">
        <v>90</v>
      </c>
      <c r="HUA48" s="108" t="s">
        <v>63</v>
      </c>
      <c r="HUN48" s="108">
        <f t="shared" ref="HUN48:HUN49" si="189">SUM(HUB48:HUM48)</f>
        <v>0</v>
      </c>
      <c r="HVE48" s="108" t="s">
        <v>90</v>
      </c>
      <c r="HVG48" s="108" t="s">
        <v>63</v>
      </c>
      <c r="HVT48" s="108">
        <f t="shared" ref="HVT48:HVT49" si="190">SUM(HVH48:HVS48)</f>
        <v>0</v>
      </c>
      <c r="HWK48" s="108" t="s">
        <v>90</v>
      </c>
      <c r="HWM48" s="108" t="s">
        <v>63</v>
      </c>
      <c r="HWZ48" s="108">
        <f t="shared" ref="HWZ48:HWZ49" si="191">SUM(HWN48:HWY48)</f>
        <v>0</v>
      </c>
      <c r="HXQ48" s="108" t="s">
        <v>90</v>
      </c>
      <c r="HXS48" s="108" t="s">
        <v>63</v>
      </c>
      <c r="HYF48" s="108">
        <f t="shared" ref="HYF48:HYF49" si="192">SUM(HXT48:HYE48)</f>
        <v>0</v>
      </c>
      <c r="HYW48" s="108" t="s">
        <v>90</v>
      </c>
      <c r="HYY48" s="108" t="s">
        <v>63</v>
      </c>
      <c r="HZL48" s="108">
        <f t="shared" ref="HZL48:HZL49" si="193">SUM(HYZ48:HZK48)</f>
        <v>0</v>
      </c>
      <c r="IAC48" s="108" t="s">
        <v>90</v>
      </c>
      <c r="IAE48" s="108" t="s">
        <v>63</v>
      </c>
      <c r="IAR48" s="108">
        <f t="shared" ref="IAR48:IAR49" si="194">SUM(IAF48:IAQ48)</f>
        <v>0</v>
      </c>
      <c r="IBI48" s="108" t="s">
        <v>90</v>
      </c>
      <c r="IBK48" s="108" t="s">
        <v>63</v>
      </c>
      <c r="IBX48" s="108">
        <f t="shared" ref="IBX48:IBX49" si="195">SUM(IBL48:IBW48)</f>
        <v>0</v>
      </c>
      <c r="ICO48" s="108" t="s">
        <v>90</v>
      </c>
      <c r="ICQ48" s="108" t="s">
        <v>63</v>
      </c>
      <c r="IDD48" s="108">
        <f t="shared" ref="IDD48:IDD49" si="196">SUM(ICR48:IDC48)</f>
        <v>0</v>
      </c>
      <c r="IDU48" s="108" t="s">
        <v>90</v>
      </c>
      <c r="IDW48" s="108" t="s">
        <v>63</v>
      </c>
      <c r="IEJ48" s="108">
        <f t="shared" ref="IEJ48:IEJ49" si="197">SUM(IDX48:IEI48)</f>
        <v>0</v>
      </c>
      <c r="IFA48" s="108" t="s">
        <v>90</v>
      </c>
      <c r="IFC48" s="108" t="s">
        <v>63</v>
      </c>
      <c r="IFP48" s="108">
        <f t="shared" ref="IFP48:IFP49" si="198">SUM(IFD48:IFO48)</f>
        <v>0</v>
      </c>
      <c r="IGG48" s="108" t="s">
        <v>90</v>
      </c>
      <c r="IGI48" s="108" t="s">
        <v>63</v>
      </c>
      <c r="IGV48" s="108">
        <f t="shared" ref="IGV48:IGV49" si="199">SUM(IGJ48:IGU48)</f>
        <v>0</v>
      </c>
      <c r="IHM48" s="108" t="s">
        <v>90</v>
      </c>
      <c r="IHO48" s="108" t="s">
        <v>63</v>
      </c>
      <c r="IIB48" s="108">
        <f t="shared" ref="IIB48:IIB49" si="200">SUM(IHP48:IIA48)</f>
        <v>0</v>
      </c>
      <c r="IIS48" s="108" t="s">
        <v>90</v>
      </c>
      <c r="IIU48" s="108" t="s">
        <v>63</v>
      </c>
      <c r="IJH48" s="108">
        <f t="shared" ref="IJH48:IJH49" si="201">SUM(IIV48:IJG48)</f>
        <v>0</v>
      </c>
      <c r="IJY48" s="108" t="s">
        <v>90</v>
      </c>
      <c r="IKA48" s="108" t="s">
        <v>63</v>
      </c>
      <c r="IKN48" s="108">
        <f t="shared" ref="IKN48:IKN49" si="202">SUM(IKB48:IKM48)</f>
        <v>0</v>
      </c>
      <c r="ILE48" s="108" t="s">
        <v>90</v>
      </c>
      <c r="ILG48" s="108" t="s">
        <v>63</v>
      </c>
      <c r="ILT48" s="108">
        <f t="shared" ref="ILT48:ILT49" si="203">SUM(ILH48:ILS48)</f>
        <v>0</v>
      </c>
      <c r="IMK48" s="108" t="s">
        <v>90</v>
      </c>
      <c r="IMM48" s="108" t="s">
        <v>63</v>
      </c>
      <c r="IMZ48" s="108">
        <f t="shared" ref="IMZ48:IMZ49" si="204">SUM(IMN48:IMY48)</f>
        <v>0</v>
      </c>
      <c r="INQ48" s="108" t="s">
        <v>90</v>
      </c>
      <c r="INS48" s="108" t="s">
        <v>63</v>
      </c>
      <c r="IOF48" s="108">
        <f t="shared" ref="IOF48:IOF49" si="205">SUM(INT48:IOE48)</f>
        <v>0</v>
      </c>
      <c r="IOW48" s="108" t="s">
        <v>90</v>
      </c>
      <c r="IOY48" s="108" t="s">
        <v>63</v>
      </c>
      <c r="IPL48" s="108">
        <f t="shared" ref="IPL48:IPL49" si="206">SUM(IOZ48:IPK48)</f>
        <v>0</v>
      </c>
      <c r="IQC48" s="108" t="s">
        <v>90</v>
      </c>
      <c r="IQE48" s="108" t="s">
        <v>63</v>
      </c>
      <c r="IQR48" s="108">
        <f t="shared" ref="IQR48:IQR49" si="207">SUM(IQF48:IQQ48)</f>
        <v>0</v>
      </c>
      <c r="IRI48" s="108" t="s">
        <v>90</v>
      </c>
      <c r="IRK48" s="108" t="s">
        <v>63</v>
      </c>
      <c r="IRX48" s="108">
        <f t="shared" ref="IRX48:IRX49" si="208">SUM(IRL48:IRW48)</f>
        <v>0</v>
      </c>
      <c r="ISO48" s="108" t="s">
        <v>90</v>
      </c>
      <c r="ISQ48" s="108" t="s">
        <v>63</v>
      </c>
      <c r="ITD48" s="108">
        <f t="shared" ref="ITD48:ITD49" si="209">SUM(ISR48:ITC48)</f>
        <v>0</v>
      </c>
      <c r="ITU48" s="108" t="s">
        <v>90</v>
      </c>
      <c r="ITW48" s="108" t="s">
        <v>63</v>
      </c>
      <c r="IUJ48" s="108">
        <f t="shared" ref="IUJ48:IUJ49" si="210">SUM(ITX48:IUI48)</f>
        <v>0</v>
      </c>
      <c r="IVA48" s="108" t="s">
        <v>90</v>
      </c>
      <c r="IVC48" s="108" t="s">
        <v>63</v>
      </c>
      <c r="IVP48" s="108">
        <f t="shared" ref="IVP48:IVP49" si="211">SUM(IVD48:IVO48)</f>
        <v>0</v>
      </c>
      <c r="IWG48" s="108" t="s">
        <v>90</v>
      </c>
      <c r="IWI48" s="108" t="s">
        <v>63</v>
      </c>
      <c r="IWV48" s="108">
        <f t="shared" ref="IWV48:IWV49" si="212">SUM(IWJ48:IWU48)</f>
        <v>0</v>
      </c>
      <c r="IXM48" s="108" t="s">
        <v>90</v>
      </c>
      <c r="IXO48" s="108" t="s">
        <v>63</v>
      </c>
      <c r="IYB48" s="108">
        <f t="shared" ref="IYB48:IYB49" si="213">SUM(IXP48:IYA48)</f>
        <v>0</v>
      </c>
      <c r="IYS48" s="108" t="s">
        <v>90</v>
      </c>
      <c r="IYU48" s="108" t="s">
        <v>63</v>
      </c>
      <c r="IZH48" s="108">
        <f t="shared" ref="IZH48:IZH49" si="214">SUM(IYV48:IZG48)</f>
        <v>0</v>
      </c>
      <c r="IZY48" s="108" t="s">
        <v>90</v>
      </c>
      <c r="JAA48" s="108" t="s">
        <v>63</v>
      </c>
      <c r="JAN48" s="108">
        <f t="shared" ref="JAN48:JAN49" si="215">SUM(JAB48:JAM48)</f>
        <v>0</v>
      </c>
      <c r="JBE48" s="108" t="s">
        <v>90</v>
      </c>
      <c r="JBG48" s="108" t="s">
        <v>63</v>
      </c>
      <c r="JBT48" s="108">
        <f t="shared" ref="JBT48:JBT49" si="216">SUM(JBH48:JBS48)</f>
        <v>0</v>
      </c>
      <c r="JCK48" s="108" t="s">
        <v>90</v>
      </c>
      <c r="JCM48" s="108" t="s">
        <v>63</v>
      </c>
      <c r="JCZ48" s="108">
        <f t="shared" ref="JCZ48:JCZ49" si="217">SUM(JCN48:JCY48)</f>
        <v>0</v>
      </c>
      <c r="JDQ48" s="108" t="s">
        <v>90</v>
      </c>
      <c r="JDS48" s="108" t="s">
        <v>63</v>
      </c>
      <c r="JEF48" s="108">
        <f t="shared" ref="JEF48:JEF49" si="218">SUM(JDT48:JEE48)</f>
        <v>0</v>
      </c>
      <c r="JEW48" s="108" t="s">
        <v>90</v>
      </c>
      <c r="JEY48" s="108" t="s">
        <v>63</v>
      </c>
      <c r="JFL48" s="108">
        <f t="shared" ref="JFL48:JFL49" si="219">SUM(JEZ48:JFK48)</f>
        <v>0</v>
      </c>
      <c r="JGC48" s="108" t="s">
        <v>90</v>
      </c>
      <c r="JGE48" s="108" t="s">
        <v>63</v>
      </c>
      <c r="JGR48" s="108">
        <f t="shared" ref="JGR48:JGR49" si="220">SUM(JGF48:JGQ48)</f>
        <v>0</v>
      </c>
      <c r="JHI48" s="108" t="s">
        <v>90</v>
      </c>
      <c r="JHK48" s="108" t="s">
        <v>63</v>
      </c>
      <c r="JHX48" s="108">
        <f t="shared" ref="JHX48:JHX49" si="221">SUM(JHL48:JHW48)</f>
        <v>0</v>
      </c>
      <c r="JIO48" s="108" t="s">
        <v>90</v>
      </c>
      <c r="JIQ48" s="108" t="s">
        <v>63</v>
      </c>
      <c r="JJD48" s="108">
        <f t="shared" ref="JJD48:JJD49" si="222">SUM(JIR48:JJC48)</f>
        <v>0</v>
      </c>
      <c r="JJU48" s="108" t="s">
        <v>90</v>
      </c>
      <c r="JJW48" s="108" t="s">
        <v>63</v>
      </c>
      <c r="JKJ48" s="108">
        <f t="shared" ref="JKJ48:JKJ49" si="223">SUM(JJX48:JKI48)</f>
        <v>0</v>
      </c>
      <c r="JLA48" s="108" t="s">
        <v>90</v>
      </c>
      <c r="JLC48" s="108" t="s">
        <v>63</v>
      </c>
      <c r="JLP48" s="108">
        <f t="shared" ref="JLP48:JLP49" si="224">SUM(JLD48:JLO48)</f>
        <v>0</v>
      </c>
      <c r="JMG48" s="108" t="s">
        <v>90</v>
      </c>
      <c r="JMI48" s="108" t="s">
        <v>63</v>
      </c>
      <c r="JMV48" s="108">
        <f t="shared" ref="JMV48:JMV49" si="225">SUM(JMJ48:JMU48)</f>
        <v>0</v>
      </c>
      <c r="JNM48" s="108" t="s">
        <v>90</v>
      </c>
      <c r="JNO48" s="108" t="s">
        <v>63</v>
      </c>
      <c r="JOB48" s="108">
        <f t="shared" ref="JOB48:JOB49" si="226">SUM(JNP48:JOA48)</f>
        <v>0</v>
      </c>
      <c r="JOS48" s="108" t="s">
        <v>90</v>
      </c>
      <c r="JOU48" s="108" t="s">
        <v>63</v>
      </c>
      <c r="JPH48" s="108">
        <f t="shared" ref="JPH48:JPH49" si="227">SUM(JOV48:JPG48)</f>
        <v>0</v>
      </c>
      <c r="JPY48" s="108" t="s">
        <v>90</v>
      </c>
      <c r="JQA48" s="108" t="s">
        <v>63</v>
      </c>
      <c r="JQN48" s="108">
        <f t="shared" ref="JQN48:JQN49" si="228">SUM(JQB48:JQM48)</f>
        <v>0</v>
      </c>
      <c r="JRE48" s="108" t="s">
        <v>90</v>
      </c>
      <c r="JRG48" s="108" t="s">
        <v>63</v>
      </c>
      <c r="JRT48" s="108">
        <f t="shared" ref="JRT48:JRT49" si="229">SUM(JRH48:JRS48)</f>
        <v>0</v>
      </c>
      <c r="JSK48" s="108" t="s">
        <v>90</v>
      </c>
      <c r="JSM48" s="108" t="s">
        <v>63</v>
      </c>
      <c r="JSZ48" s="108">
        <f t="shared" ref="JSZ48:JSZ49" si="230">SUM(JSN48:JSY48)</f>
        <v>0</v>
      </c>
      <c r="JTQ48" s="108" t="s">
        <v>90</v>
      </c>
      <c r="JTS48" s="108" t="s">
        <v>63</v>
      </c>
      <c r="JUF48" s="108">
        <f t="shared" ref="JUF48:JUF49" si="231">SUM(JTT48:JUE48)</f>
        <v>0</v>
      </c>
      <c r="JUW48" s="108" t="s">
        <v>90</v>
      </c>
      <c r="JUY48" s="108" t="s">
        <v>63</v>
      </c>
      <c r="JVL48" s="108">
        <f t="shared" ref="JVL48:JVL49" si="232">SUM(JUZ48:JVK48)</f>
        <v>0</v>
      </c>
      <c r="JWC48" s="108" t="s">
        <v>90</v>
      </c>
      <c r="JWE48" s="108" t="s">
        <v>63</v>
      </c>
      <c r="JWR48" s="108">
        <f t="shared" ref="JWR48:JWR49" si="233">SUM(JWF48:JWQ48)</f>
        <v>0</v>
      </c>
      <c r="JXI48" s="108" t="s">
        <v>90</v>
      </c>
      <c r="JXK48" s="108" t="s">
        <v>63</v>
      </c>
      <c r="JXX48" s="108">
        <f t="shared" ref="JXX48:JXX49" si="234">SUM(JXL48:JXW48)</f>
        <v>0</v>
      </c>
      <c r="JYO48" s="108" t="s">
        <v>90</v>
      </c>
      <c r="JYQ48" s="108" t="s">
        <v>63</v>
      </c>
      <c r="JZD48" s="108">
        <f t="shared" ref="JZD48:JZD49" si="235">SUM(JYR48:JZC48)</f>
        <v>0</v>
      </c>
      <c r="JZU48" s="108" t="s">
        <v>90</v>
      </c>
      <c r="JZW48" s="108" t="s">
        <v>63</v>
      </c>
      <c r="KAJ48" s="108">
        <f t="shared" ref="KAJ48:KAJ49" si="236">SUM(JZX48:KAI48)</f>
        <v>0</v>
      </c>
      <c r="KBA48" s="108" t="s">
        <v>90</v>
      </c>
      <c r="KBC48" s="108" t="s">
        <v>63</v>
      </c>
      <c r="KBP48" s="108">
        <f t="shared" ref="KBP48:KBP49" si="237">SUM(KBD48:KBO48)</f>
        <v>0</v>
      </c>
      <c r="KCG48" s="108" t="s">
        <v>90</v>
      </c>
      <c r="KCI48" s="108" t="s">
        <v>63</v>
      </c>
      <c r="KCV48" s="108">
        <f t="shared" ref="KCV48:KCV49" si="238">SUM(KCJ48:KCU48)</f>
        <v>0</v>
      </c>
      <c r="KDM48" s="108" t="s">
        <v>90</v>
      </c>
      <c r="KDO48" s="108" t="s">
        <v>63</v>
      </c>
      <c r="KEB48" s="108">
        <f t="shared" ref="KEB48:KEB49" si="239">SUM(KDP48:KEA48)</f>
        <v>0</v>
      </c>
      <c r="KES48" s="108" t="s">
        <v>90</v>
      </c>
      <c r="KEU48" s="108" t="s">
        <v>63</v>
      </c>
      <c r="KFH48" s="108">
        <f t="shared" ref="KFH48:KFH49" si="240">SUM(KEV48:KFG48)</f>
        <v>0</v>
      </c>
      <c r="KFY48" s="108" t="s">
        <v>90</v>
      </c>
      <c r="KGA48" s="108" t="s">
        <v>63</v>
      </c>
      <c r="KGN48" s="108">
        <f t="shared" ref="KGN48:KGN49" si="241">SUM(KGB48:KGM48)</f>
        <v>0</v>
      </c>
      <c r="KHE48" s="108" t="s">
        <v>90</v>
      </c>
      <c r="KHG48" s="108" t="s">
        <v>63</v>
      </c>
      <c r="KHT48" s="108">
        <f t="shared" ref="KHT48:KHT49" si="242">SUM(KHH48:KHS48)</f>
        <v>0</v>
      </c>
      <c r="KIK48" s="108" t="s">
        <v>90</v>
      </c>
      <c r="KIM48" s="108" t="s">
        <v>63</v>
      </c>
      <c r="KIZ48" s="108">
        <f t="shared" ref="KIZ48:KIZ49" si="243">SUM(KIN48:KIY48)</f>
        <v>0</v>
      </c>
      <c r="KJQ48" s="108" t="s">
        <v>90</v>
      </c>
      <c r="KJS48" s="108" t="s">
        <v>63</v>
      </c>
      <c r="KKF48" s="108">
        <f t="shared" ref="KKF48:KKF49" si="244">SUM(KJT48:KKE48)</f>
        <v>0</v>
      </c>
      <c r="KKW48" s="108" t="s">
        <v>90</v>
      </c>
      <c r="KKY48" s="108" t="s">
        <v>63</v>
      </c>
      <c r="KLL48" s="108">
        <f t="shared" ref="KLL48:KLL49" si="245">SUM(KKZ48:KLK48)</f>
        <v>0</v>
      </c>
      <c r="KMC48" s="108" t="s">
        <v>90</v>
      </c>
      <c r="KME48" s="108" t="s">
        <v>63</v>
      </c>
      <c r="KMR48" s="108">
        <f t="shared" ref="KMR48:KMR49" si="246">SUM(KMF48:KMQ48)</f>
        <v>0</v>
      </c>
      <c r="KNI48" s="108" t="s">
        <v>90</v>
      </c>
      <c r="KNK48" s="108" t="s">
        <v>63</v>
      </c>
      <c r="KNX48" s="108">
        <f t="shared" ref="KNX48:KNX49" si="247">SUM(KNL48:KNW48)</f>
        <v>0</v>
      </c>
      <c r="KOO48" s="108" t="s">
        <v>90</v>
      </c>
      <c r="KOQ48" s="108" t="s">
        <v>63</v>
      </c>
      <c r="KPD48" s="108">
        <f t="shared" ref="KPD48:KPD49" si="248">SUM(KOR48:KPC48)</f>
        <v>0</v>
      </c>
      <c r="KPU48" s="108" t="s">
        <v>90</v>
      </c>
      <c r="KPW48" s="108" t="s">
        <v>63</v>
      </c>
      <c r="KQJ48" s="108">
        <f t="shared" ref="KQJ48:KQJ49" si="249">SUM(KPX48:KQI48)</f>
        <v>0</v>
      </c>
      <c r="KRA48" s="108" t="s">
        <v>90</v>
      </c>
      <c r="KRC48" s="108" t="s">
        <v>63</v>
      </c>
      <c r="KRP48" s="108">
        <f t="shared" ref="KRP48:KRP49" si="250">SUM(KRD48:KRO48)</f>
        <v>0</v>
      </c>
      <c r="KSG48" s="108" t="s">
        <v>90</v>
      </c>
      <c r="KSI48" s="108" t="s">
        <v>63</v>
      </c>
      <c r="KSV48" s="108">
        <f t="shared" ref="KSV48:KSV49" si="251">SUM(KSJ48:KSU48)</f>
        <v>0</v>
      </c>
      <c r="KTM48" s="108" t="s">
        <v>90</v>
      </c>
      <c r="KTO48" s="108" t="s">
        <v>63</v>
      </c>
      <c r="KUB48" s="108">
        <f t="shared" ref="KUB48:KUB49" si="252">SUM(KTP48:KUA48)</f>
        <v>0</v>
      </c>
      <c r="KUS48" s="108" t="s">
        <v>90</v>
      </c>
      <c r="KUU48" s="108" t="s">
        <v>63</v>
      </c>
      <c r="KVH48" s="108">
        <f t="shared" ref="KVH48:KVH49" si="253">SUM(KUV48:KVG48)</f>
        <v>0</v>
      </c>
      <c r="KVY48" s="108" t="s">
        <v>90</v>
      </c>
      <c r="KWA48" s="108" t="s">
        <v>63</v>
      </c>
      <c r="KWN48" s="108">
        <f t="shared" ref="KWN48:KWN49" si="254">SUM(KWB48:KWM48)</f>
        <v>0</v>
      </c>
      <c r="KXE48" s="108" t="s">
        <v>90</v>
      </c>
      <c r="KXG48" s="108" t="s">
        <v>63</v>
      </c>
      <c r="KXT48" s="108">
        <f t="shared" ref="KXT48:KXT49" si="255">SUM(KXH48:KXS48)</f>
        <v>0</v>
      </c>
      <c r="KYK48" s="108" t="s">
        <v>90</v>
      </c>
      <c r="KYM48" s="108" t="s">
        <v>63</v>
      </c>
      <c r="KYZ48" s="108">
        <f t="shared" ref="KYZ48:KYZ49" si="256">SUM(KYN48:KYY48)</f>
        <v>0</v>
      </c>
      <c r="KZQ48" s="108" t="s">
        <v>90</v>
      </c>
      <c r="KZS48" s="108" t="s">
        <v>63</v>
      </c>
      <c r="LAF48" s="108">
        <f t="shared" ref="LAF48:LAF49" si="257">SUM(KZT48:LAE48)</f>
        <v>0</v>
      </c>
      <c r="LAW48" s="108" t="s">
        <v>90</v>
      </c>
      <c r="LAY48" s="108" t="s">
        <v>63</v>
      </c>
      <c r="LBL48" s="108">
        <f t="shared" ref="LBL48:LBL49" si="258">SUM(LAZ48:LBK48)</f>
        <v>0</v>
      </c>
      <c r="LCC48" s="108" t="s">
        <v>90</v>
      </c>
      <c r="LCE48" s="108" t="s">
        <v>63</v>
      </c>
      <c r="LCR48" s="108">
        <f t="shared" ref="LCR48:LCR49" si="259">SUM(LCF48:LCQ48)</f>
        <v>0</v>
      </c>
      <c r="LDI48" s="108" t="s">
        <v>90</v>
      </c>
      <c r="LDK48" s="108" t="s">
        <v>63</v>
      </c>
      <c r="LDX48" s="108">
        <f t="shared" ref="LDX48:LDX49" si="260">SUM(LDL48:LDW48)</f>
        <v>0</v>
      </c>
      <c r="LEO48" s="108" t="s">
        <v>90</v>
      </c>
      <c r="LEQ48" s="108" t="s">
        <v>63</v>
      </c>
      <c r="LFD48" s="108">
        <f t="shared" ref="LFD48:LFD49" si="261">SUM(LER48:LFC48)</f>
        <v>0</v>
      </c>
      <c r="LFU48" s="108" t="s">
        <v>90</v>
      </c>
      <c r="LFW48" s="108" t="s">
        <v>63</v>
      </c>
      <c r="LGJ48" s="108">
        <f t="shared" ref="LGJ48:LGJ49" si="262">SUM(LFX48:LGI48)</f>
        <v>0</v>
      </c>
      <c r="LHA48" s="108" t="s">
        <v>90</v>
      </c>
      <c r="LHC48" s="108" t="s">
        <v>63</v>
      </c>
      <c r="LHP48" s="108">
        <f t="shared" ref="LHP48:LHP49" si="263">SUM(LHD48:LHO48)</f>
        <v>0</v>
      </c>
      <c r="LIG48" s="108" t="s">
        <v>90</v>
      </c>
      <c r="LII48" s="108" t="s">
        <v>63</v>
      </c>
      <c r="LIV48" s="108">
        <f t="shared" ref="LIV48:LIV49" si="264">SUM(LIJ48:LIU48)</f>
        <v>0</v>
      </c>
      <c r="LJM48" s="108" t="s">
        <v>90</v>
      </c>
      <c r="LJO48" s="108" t="s">
        <v>63</v>
      </c>
      <c r="LKB48" s="108">
        <f t="shared" ref="LKB48:LKB49" si="265">SUM(LJP48:LKA48)</f>
        <v>0</v>
      </c>
      <c r="LKS48" s="108" t="s">
        <v>90</v>
      </c>
      <c r="LKU48" s="108" t="s">
        <v>63</v>
      </c>
      <c r="LLH48" s="108">
        <f t="shared" ref="LLH48:LLH49" si="266">SUM(LKV48:LLG48)</f>
        <v>0</v>
      </c>
      <c r="LLY48" s="108" t="s">
        <v>90</v>
      </c>
      <c r="LMA48" s="108" t="s">
        <v>63</v>
      </c>
      <c r="LMN48" s="108">
        <f t="shared" ref="LMN48:LMN49" si="267">SUM(LMB48:LMM48)</f>
        <v>0</v>
      </c>
      <c r="LNE48" s="108" t="s">
        <v>90</v>
      </c>
      <c r="LNG48" s="108" t="s">
        <v>63</v>
      </c>
      <c r="LNT48" s="108">
        <f t="shared" ref="LNT48:LNT49" si="268">SUM(LNH48:LNS48)</f>
        <v>0</v>
      </c>
      <c r="LOK48" s="108" t="s">
        <v>90</v>
      </c>
      <c r="LOM48" s="108" t="s">
        <v>63</v>
      </c>
      <c r="LOZ48" s="108">
        <f t="shared" ref="LOZ48:LOZ49" si="269">SUM(LON48:LOY48)</f>
        <v>0</v>
      </c>
      <c r="LPQ48" s="108" t="s">
        <v>90</v>
      </c>
      <c r="LPS48" s="108" t="s">
        <v>63</v>
      </c>
      <c r="LQF48" s="108">
        <f t="shared" ref="LQF48:LQF49" si="270">SUM(LPT48:LQE48)</f>
        <v>0</v>
      </c>
      <c r="LQW48" s="108" t="s">
        <v>90</v>
      </c>
      <c r="LQY48" s="108" t="s">
        <v>63</v>
      </c>
      <c r="LRL48" s="108">
        <f t="shared" ref="LRL48:LRL49" si="271">SUM(LQZ48:LRK48)</f>
        <v>0</v>
      </c>
      <c r="LSC48" s="108" t="s">
        <v>90</v>
      </c>
      <c r="LSE48" s="108" t="s">
        <v>63</v>
      </c>
      <c r="LSR48" s="108">
        <f t="shared" ref="LSR48:LSR49" si="272">SUM(LSF48:LSQ48)</f>
        <v>0</v>
      </c>
      <c r="LTI48" s="108" t="s">
        <v>90</v>
      </c>
      <c r="LTK48" s="108" t="s">
        <v>63</v>
      </c>
      <c r="LTX48" s="108">
        <f t="shared" ref="LTX48:LTX49" si="273">SUM(LTL48:LTW48)</f>
        <v>0</v>
      </c>
      <c r="LUO48" s="108" t="s">
        <v>90</v>
      </c>
      <c r="LUQ48" s="108" t="s">
        <v>63</v>
      </c>
      <c r="LVD48" s="108">
        <f t="shared" ref="LVD48:LVD49" si="274">SUM(LUR48:LVC48)</f>
        <v>0</v>
      </c>
      <c r="LVU48" s="108" t="s">
        <v>90</v>
      </c>
      <c r="LVW48" s="108" t="s">
        <v>63</v>
      </c>
      <c r="LWJ48" s="108">
        <f t="shared" ref="LWJ48:LWJ49" si="275">SUM(LVX48:LWI48)</f>
        <v>0</v>
      </c>
      <c r="LXA48" s="108" t="s">
        <v>90</v>
      </c>
      <c r="LXC48" s="108" t="s">
        <v>63</v>
      </c>
      <c r="LXP48" s="108">
        <f t="shared" ref="LXP48:LXP49" si="276">SUM(LXD48:LXO48)</f>
        <v>0</v>
      </c>
      <c r="LYG48" s="108" t="s">
        <v>90</v>
      </c>
      <c r="LYI48" s="108" t="s">
        <v>63</v>
      </c>
      <c r="LYV48" s="108">
        <f t="shared" ref="LYV48:LYV49" si="277">SUM(LYJ48:LYU48)</f>
        <v>0</v>
      </c>
      <c r="LZM48" s="108" t="s">
        <v>90</v>
      </c>
      <c r="LZO48" s="108" t="s">
        <v>63</v>
      </c>
      <c r="MAB48" s="108">
        <f t="shared" ref="MAB48:MAB49" si="278">SUM(LZP48:MAA48)</f>
        <v>0</v>
      </c>
      <c r="MAS48" s="108" t="s">
        <v>90</v>
      </c>
      <c r="MAU48" s="108" t="s">
        <v>63</v>
      </c>
      <c r="MBH48" s="108">
        <f t="shared" ref="MBH48:MBH49" si="279">SUM(MAV48:MBG48)</f>
        <v>0</v>
      </c>
      <c r="MBY48" s="108" t="s">
        <v>90</v>
      </c>
      <c r="MCA48" s="108" t="s">
        <v>63</v>
      </c>
      <c r="MCN48" s="108">
        <f t="shared" ref="MCN48:MCN49" si="280">SUM(MCB48:MCM48)</f>
        <v>0</v>
      </c>
      <c r="MDE48" s="108" t="s">
        <v>90</v>
      </c>
      <c r="MDG48" s="108" t="s">
        <v>63</v>
      </c>
      <c r="MDT48" s="108">
        <f t="shared" ref="MDT48:MDT49" si="281">SUM(MDH48:MDS48)</f>
        <v>0</v>
      </c>
      <c r="MEK48" s="108" t="s">
        <v>90</v>
      </c>
      <c r="MEM48" s="108" t="s">
        <v>63</v>
      </c>
      <c r="MEZ48" s="108">
        <f t="shared" ref="MEZ48:MEZ49" si="282">SUM(MEN48:MEY48)</f>
        <v>0</v>
      </c>
      <c r="MFQ48" s="108" t="s">
        <v>90</v>
      </c>
      <c r="MFS48" s="108" t="s">
        <v>63</v>
      </c>
      <c r="MGF48" s="108">
        <f t="shared" ref="MGF48:MGF49" si="283">SUM(MFT48:MGE48)</f>
        <v>0</v>
      </c>
      <c r="MGW48" s="108" t="s">
        <v>90</v>
      </c>
      <c r="MGY48" s="108" t="s">
        <v>63</v>
      </c>
      <c r="MHL48" s="108">
        <f t="shared" ref="MHL48:MHL49" si="284">SUM(MGZ48:MHK48)</f>
        <v>0</v>
      </c>
      <c r="MIC48" s="108" t="s">
        <v>90</v>
      </c>
      <c r="MIE48" s="108" t="s">
        <v>63</v>
      </c>
      <c r="MIR48" s="108">
        <f t="shared" ref="MIR48:MIR49" si="285">SUM(MIF48:MIQ48)</f>
        <v>0</v>
      </c>
      <c r="MJI48" s="108" t="s">
        <v>90</v>
      </c>
      <c r="MJK48" s="108" t="s">
        <v>63</v>
      </c>
      <c r="MJX48" s="108">
        <f t="shared" ref="MJX48:MJX49" si="286">SUM(MJL48:MJW48)</f>
        <v>0</v>
      </c>
      <c r="MKO48" s="108" t="s">
        <v>90</v>
      </c>
      <c r="MKQ48" s="108" t="s">
        <v>63</v>
      </c>
      <c r="MLD48" s="108">
        <f t="shared" ref="MLD48:MLD49" si="287">SUM(MKR48:MLC48)</f>
        <v>0</v>
      </c>
      <c r="MLU48" s="108" t="s">
        <v>90</v>
      </c>
      <c r="MLW48" s="108" t="s">
        <v>63</v>
      </c>
      <c r="MMJ48" s="108">
        <f t="shared" ref="MMJ48:MMJ49" si="288">SUM(MLX48:MMI48)</f>
        <v>0</v>
      </c>
      <c r="MNA48" s="108" t="s">
        <v>90</v>
      </c>
      <c r="MNC48" s="108" t="s">
        <v>63</v>
      </c>
      <c r="MNP48" s="108">
        <f t="shared" ref="MNP48:MNP49" si="289">SUM(MND48:MNO48)</f>
        <v>0</v>
      </c>
      <c r="MOG48" s="108" t="s">
        <v>90</v>
      </c>
      <c r="MOI48" s="108" t="s">
        <v>63</v>
      </c>
      <c r="MOV48" s="108">
        <f t="shared" ref="MOV48:MOV49" si="290">SUM(MOJ48:MOU48)</f>
        <v>0</v>
      </c>
      <c r="MPM48" s="108" t="s">
        <v>90</v>
      </c>
      <c r="MPO48" s="108" t="s">
        <v>63</v>
      </c>
      <c r="MQB48" s="108">
        <f t="shared" ref="MQB48:MQB49" si="291">SUM(MPP48:MQA48)</f>
        <v>0</v>
      </c>
      <c r="MQS48" s="108" t="s">
        <v>90</v>
      </c>
      <c r="MQU48" s="108" t="s">
        <v>63</v>
      </c>
      <c r="MRH48" s="108">
        <f t="shared" ref="MRH48:MRH49" si="292">SUM(MQV48:MRG48)</f>
        <v>0</v>
      </c>
      <c r="MRY48" s="108" t="s">
        <v>90</v>
      </c>
      <c r="MSA48" s="108" t="s">
        <v>63</v>
      </c>
      <c r="MSN48" s="108">
        <f t="shared" ref="MSN48:MSN49" si="293">SUM(MSB48:MSM48)</f>
        <v>0</v>
      </c>
      <c r="MTE48" s="108" t="s">
        <v>90</v>
      </c>
      <c r="MTG48" s="108" t="s">
        <v>63</v>
      </c>
      <c r="MTT48" s="108">
        <f t="shared" ref="MTT48:MTT49" si="294">SUM(MTH48:MTS48)</f>
        <v>0</v>
      </c>
      <c r="MUK48" s="108" t="s">
        <v>90</v>
      </c>
      <c r="MUM48" s="108" t="s">
        <v>63</v>
      </c>
      <c r="MUZ48" s="108">
        <f t="shared" ref="MUZ48:MUZ49" si="295">SUM(MUN48:MUY48)</f>
        <v>0</v>
      </c>
      <c r="MVQ48" s="108" t="s">
        <v>90</v>
      </c>
      <c r="MVS48" s="108" t="s">
        <v>63</v>
      </c>
      <c r="MWF48" s="108">
        <f t="shared" ref="MWF48:MWF49" si="296">SUM(MVT48:MWE48)</f>
        <v>0</v>
      </c>
      <c r="MWW48" s="108" t="s">
        <v>90</v>
      </c>
      <c r="MWY48" s="108" t="s">
        <v>63</v>
      </c>
      <c r="MXL48" s="108">
        <f t="shared" ref="MXL48:MXL49" si="297">SUM(MWZ48:MXK48)</f>
        <v>0</v>
      </c>
      <c r="MYC48" s="108" t="s">
        <v>90</v>
      </c>
      <c r="MYE48" s="108" t="s">
        <v>63</v>
      </c>
      <c r="MYR48" s="108">
        <f t="shared" ref="MYR48:MYR49" si="298">SUM(MYF48:MYQ48)</f>
        <v>0</v>
      </c>
      <c r="MZI48" s="108" t="s">
        <v>90</v>
      </c>
      <c r="MZK48" s="108" t="s">
        <v>63</v>
      </c>
      <c r="MZX48" s="108">
        <f t="shared" ref="MZX48:MZX49" si="299">SUM(MZL48:MZW48)</f>
        <v>0</v>
      </c>
      <c r="NAO48" s="108" t="s">
        <v>90</v>
      </c>
      <c r="NAQ48" s="108" t="s">
        <v>63</v>
      </c>
      <c r="NBD48" s="108">
        <f t="shared" ref="NBD48:NBD49" si="300">SUM(NAR48:NBC48)</f>
        <v>0</v>
      </c>
      <c r="NBU48" s="108" t="s">
        <v>90</v>
      </c>
      <c r="NBW48" s="108" t="s">
        <v>63</v>
      </c>
      <c r="NCJ48" s="108">
        <f t="shared" ref="NCJ48:NCJ49" si="301">SUM(NBX48:NCI48)</f>
        <v>0</v>
      </c>
      <c r="NDA48" s="108" t="s">
        <v>90</v>
      </c>
      <c r="NDC48" s="108" t="s">
        <v>63</v>
      </c>
      <c r="NDP48" s="108">
        <f t="shared" ref="NDP48:NDP49" si="302">SUM(NDD48:NDO48)</f>
        <v>0</v>
      </c>
      <c r="NEG48" s="108" t="s">
        <v>90</v>
      </c>
      <c r="NEI48" s="108" t="s">
        <v>63</v>
      </c>
      <c r="NEV48" s="108">
        <f t="shared" ref="NEV48:NEV49" si="303">SUM(NEJ48:NEU48)</f>
        <v>0</v>
      </c>
      <c r="NFM48" s="108" t="s">
        <v>90</v>
      </c>
      <c r="NFO48" s="108" t="s">
        <v>63</v>
      </c>
      <c r="NGB48" s="108">
        <f t="shared" ref="NGB48:NGB49" si="304">SUM(NFP48:NGA48)</f>
        <v>0</v>
      </c>
      <c r="NGS48" s="108" t="s">
        <v>90</v>
      </c>
      <c r="NGU48" s="108" t="s">
        <v>63</v>
      </c>
      <c r="NHH48" s="108">
        <f t="shared" ref="NHH48:NHH49" si="305">SUM(NGV48:NHG48)</f>
        <v>0</v>
      </c>
      <c r="NHY48" s="108" t="s">
        <v>90</v>
      </c>
      <c r="NIA48" s="108" t="s">
        <v>63</v>
      </c>
      <c r="NIN48" s="108">
        <f t="shared" ref="NIN48:NIN49" si="306">SUM(NIB48:NIM48)</f>
        <v>0</v>
      </c>
      <c r="NJE48" s="108" t="s">
        <v>90</v>
      </c>
      <c r="NJG48" s="108" t="s">
        <v>63</v>
      </c>
      <c r="NJT48" s="108">
        <f t="shared" ref="NJT48:NJT49" si="307">SUM(NJH48:NJS48)</f>
        <v>0</v>
      </c>
      <c r="NKK48" s="108" t="s">
        <v>90</v>
      </c>
      <c r="NKM48" s="108" t="s">
        <v>63</v>
      </c>
      <c r="NKZ48" s="108">
        <f t="shared" ref="NKZ48:NKZ49" si="308">SUM(NKN48:NKY48)</f>
        <v>0</v>
      </c>
      <c r="NLQ48" s="108" t="s">
        <v>90</v>
      </c>
      <c r="NLS48" s="108" t="s">
        <v>63</v>
      </c>
      <c r="NMF48" s="108">
        <f t="shared" ref="NMF48:NMF49" si="309">SUM(NLT48:NME48)</f>
        <v>0</v>
      </c>
      <c r="NMW48" s="108" t="s">
        <v>90</v>
      </c>
      <c r="NMY48" s="108" t="s">
        <v>63</v>
      </c>
      <c r="NNL48" s="108">
        <f t="shared" ref="NNL48:NNL49" si="310">SUM(NMZ48:NNK48)</f>
        <v>0</v>
      </c>
      <c r="NOC48" s="108" t="s">
        <v>90</v>
      </c>
      <c r="NOE48" s="108" t="s">
        <v>63</v>
      </c>
      <c r="NOR48" s="108">
        <f t="shared" ref="NOR48:NOR49" si="311">SUM(NOF48:NOQ48)</f>
        <v>0</v>
      </c>
      <c r="NPI48" s="108" t="s">
        <v>90</v>
      </c>
      <c r="NPK48" s="108" t="s">
        <v>63</v>
      </c>
      <c r="NPX48" s="108">
        <f t="shared" ref="NPX48:NPX49" si="312">SUM(NPL48:NPW48)</f>
        <v>0</v>
      </c>
      <c r="NQO48" s="108" t="s">
        <v>90</v>
      </c>
      <c r="NQQ48" s="108" t="s">
        <v>63</v>
      </c>
      <c r="NRD48" s="108">
        <f t="shared" ref="NRD48:NRD49" si="313">SUM(NQR48:NRC48)</f>
        <v>0</v>
      </c>
      <c r="NRU48" s="108" t="s">
        <v>90</v>
      </c>
      <c r="NRW48" s="108" t="s">
        <v>63</v>
      </c>
      <c r="NSJ48" s="108">
        <f t="shared" ref="NSJ48:NSJ49" si="314">SUM(NRX48:NSI48)</f>
        <v>0</v>
      </c>
      <c r="NTA48" s="108" t="s">
        <v>90</v>
      </c>
      <c r="NTC48" s="108" t="s">
        <v>63</v>
      </c>
      <c r="NTP48" s="108">
        <f t="shared" ref="NTP48:NTP49" si="315">SUM(NTD48:NTO48)</f>
        <v>0</v>
      </c>
      <c r="NUG48" s="108" t="s">
        <v>90</v>
      </c>
      <c r="NUI48" s="108" t="s">
        <v>63</v>
      </c>
      <c r="NUV48" s="108">
        <f t="shared" ref="NUV48:NUV49" si="316">SUM(NUJ48:NUU48)</f>
        <v>0</v>
      </c>
      <c r="NVM48" s="108" t="s">
        <v>90</v>
      </c>
      <c r="NVO48" s="108" t="s">
        <v>63</v>
      </c>
      <c r="NWB48" s="108">
        <f t="shared" ref="NWB48:NWB49" si="317">SUM(NVP48:NWA48)</f>
        <v>0</v>
      </c>
      <c r="NWS48" s="108" t="s">
        <v>90</v>
      </c>
      <c r="NWU48" s="108" t="s">
        <v>63</v>
      </c>
      <c r="NXH48" s="108">
        <f t="shared" ref="NXH48:NXH49" si="318">SUM(NWV48:NXG48)</f>
        <v>0</v>
      </c>
      <c r="NXY48" s="108" t="s">
        <v>90</v>
      </c>
      <c r="NYA48" s="108" t="s">
        <v>63</v>
      </c>
      <c r="NYN48" s="108">
        <f t="shared" ref="NYN48:NYN49" si="319">SUM(NYB48:NYM48)</f>
        <v>0</v>
      </c>
      <c r="NZE48" s="108" t="s">
        <v>90</v>
      </c>
      <c r="NZG48" s="108" t="s">
        <v>63</v>
      </c>
      <c r="NZT48" s="108">
        <f t="shared" ref="NZT48:NZT49" si="320">SUM(NZH48:NZS48)</f>
        <v>0</v>
      </c>
      <c r="OAK48" s="108" t="s">
        <v>90</v>
      </c>
      <c r="OAM48" s="108" t="s">
        <v>63</v>
      </c>
      <c r="OAZ48" s="108">
        <f t="shared" ref="OAZ48:OAZ49" si="321">SUM(OAN48:OAY48)</f>
        <v>0</v>
      </c>
      <c r="OBQ48" s="108" t="s">
        <v>90</v>
      </c>
      <c r="OBS48" s="108" t="s">
        <v>63</v>
      </c>
      <c r="OCF48" s="108">
        <f t="shared" ref="OCF48:OCF49" si="322">SUM(OBT48:OCE48)</f>
        <v>0</v>
      </c>
      <c r="OCW48" s="108" t="s">
        <v>90</v>
      </c>
      <c r="OCY48" s="108" t="s">
        <v>63</v>
      </c>
      <c r="ODL48" s="108">
        <f t="shared" ref="ODL48:ODL49" si="323">SUM(OCZ48:ODK48)</f>
        <v>0</v>
      </c>
      <c r="OEC48" s="108" t="s">
        <v>90</v>
      </c>
      <c r="OEE48" s="108" t="s">
        <v>63</v>
      </c>
      <c r="OER48" s="108">
        <f t="shared" ref="OER48:OER49" si="324">SUM(OEF48:OEQ48)</f>
        <v>0</v>
      </c>
      <c r="OFI48" s="108" t="s">
        <v>90</v>
      </c>
      <c r="OFK48" s="108" t="s">
        <v>63</v>
      </c>
      <c r="OFX48" s="108">
        <f t="shared" ref="OFX48:OFX49" si="325">SUM(OFL48:OFW48)</f>
        <v>0</v>
      </c>
      <c r="OGO48" s="108" t="s">
        <v>90</v>
      </c>
      <c r="OGQ48" s="108" t="s">
        <v>63</v>
      </c>
      <c r="OHD48" s="108">
        <f t="shared" ref="OHD48:OHD49" si="326">SUM(OGR48:OHC48)</f>
        <v>0</v>
      </c>
      <c r="OHU48" s="108" t="s">
        <v>90</v>
      </c>
      <c r="OHW48" s="108" t="s">
        <v>63</v>
      </c>
      <c r="OIJ48" s="108">
        <f t="shared" ref="OIJ48:OIJ49" si="327">SUM(OHX48:OII48)</f>
        <v>0</v>
      </c>
      <c r="OJA48" s="108" t="s">
        <v>90</v>
      </c>
      <c r="OJC48" s="108" t="s">
        <v>63</v>
      </c>
      <c r="OJP48" s="108">
        <f t="shared" ref="OJP48:OJP49" si="328">SUM(OJD48:OJO48)</f>
        <v>0</v>
      </c>
      <c r="OKG48" s="108" t="s">
        <v>90</v>
      </c>
      <c r="OKI48" s="108" t="s">
        <v>63</v>
      </c>
      <c r="OKV48" s="108">
        <f t="shared" ref="OKV48:OKV49" si="329">SUM(OKJ48:OKU48)</f>
        <v>0</v>
      </c>
      <c r="OLM48" s="108" t="s">
        <v>90</v>
      </c>
      <c r="OLO48" s="108" t="s">
        <v>63</v>
      </c>
      <c r="OMB48" s="108">
        <f t="shared" ref="OMB48:OMB49" si="330">SUM(OLP48:OMA48)</f>
        <v>0</v>
      </c>
      <c r="OMS48" s="108" t="s">
        <v>90</v>
      </c>
      <c r="OMU48" s="108" t="s">
        <v>63</v>
      </c>
      <c r="ONH48" s="108">
        <f t="shared" ref="ONH48:ONH49" si="331">SUM(OMV48:ONG48)</f>
        <v>0</v>
      </c>
      <c r="ONY48" s="108" t="s">
        <v>90</v>
      </c>
      <c r="OOA48" s="108" t="s">
        <v>63</v>
      </c>
      <c r="OON48" s="108">
        <f t="shared" ref="OON48:OON49" si="332">SUM(OOB48:OOM48)</f>
        <v>0</v>
      </c>
      <c r="OPE48" s="108" t="s">
        <v>90</v>
      </c>
      <c r="OPG48" s="108" t="s">
        <v>63</v>
      </c>
      <c r="OPT48" s="108">
        <f t="shared" ref="OPT48:OPT49" si="333">SUM(OPH48:OPS48)</f>
        <v>0</v>
      </c>
      <c r="OQK48" s="108" t="s">
        <v>90</v>
      </c>
      <c r="OQM48" s="108" t="s">
        <v>63</v>
      </c>
      <c r="OQZ48" s="108">
        <f t="shared" ref="OQZ48:OQZ49" si="334">SUM(OQN48:OQY48)</f>
        <v>0</v>
      </c>
      <c r="ORQ48" s="108" t="s">
        <v>90</v>
      </c>
      <c r="ORS48" s="108" t="s">
        <v>63</v>
      </c>
      <c r="OSF48" s="108">
        <f t="shared" ref="OSF48:OSF49" si="335">SUM(ORT48:OSE48)</f>
        <v>0</v>
      </c>
      <c r="OSW48" s="108" t="s">
        <v>90</v>
      </c>
      <c r="OSY48" s="108" t="s">
        <v>63</v>
      </c>
      <c r="OTL48" s="108">
        <f t="shared" ref="OTL48:OTL49" si="336">SUM(OSZ48:OTK48)</f>
        <v>0</v>
      </c>
      <c r="OUC48" s="108" t="s">
        <v>90</v>
      </c>
      <c r="OUE48" s="108" t="s">
        <v>63</v>
      </c>
      <c r="OUR48" s="108">
        <f t="shared" ref="OUR48:OUR49" si="337">SUM(OUF48:OUQ48)</f>
        <v>0</v>
      </c>
      <c r="OVI48" s="108" t="s">
        <v>90</v>
      </c>
      <c r="OVK48" s="108" t="s">
        <v>63</v>
      </c>
      <c r="OVX48" s="108">
        <f t="shared" ref="OVX48:OVX49" si="338">SUM(OVL48:OVW48)</f>
        <v>0</v>
      </c>
      <c r="OWO48" s="108" t="s">
        <v>90</v>
      </c>
      <c r="OWQ48" s="108" t="s">
        <v>63</v>
      </c>
      <c r="OXD48" s="108">
        <f t="shared" ref="OXD48:OXD49" si="339">SUM(OWR48:OXC48)</f>
        <v>0</v>
      </c>
      <c r="OXU48" s="108" t="s">
        <v>90</v>
      </c>
      <c r="OXW48" s="108" t="s">
        <v>63</v>
      </c>
      <c r="OYJ48" s="108">
        <f t="shared" ref="OYJ48:OYJ49" si="340">SUM(OXX48:OYI48)</f>
        <v>0</v>
      </c>
      <c r="OZA48" s="108" t="s">
        <v>90</v>
      </c>
      <c r="OZC48" s="108" t="s">
        <v>63</v>
      </c>
      <c r="OZP48" s="108">
        <f t="shared" ref="OZP48:OZP49" si="341">SUM(OZD48:OZO48)</f>
        <v>0</v>
      </c>
      <c r="PAG48" s="108" t="s">
        <v>90</v>
      </c>
      <c r="PAI48" s="108" t="s">
        <v>63</v>
      </c>
      <c r="PAV48" s="108">
        <f t="shared" ref="PAV48:PAV49" si="342">SUM(PAJ48:PAU48)</f>
        <v>0</v>
      </c>
      <c r="PBM48" s="108" t="s">
        <v>90</v>
      </c>
      <c r="PBO48" s="108" t="s">
        <v>63</v>
      </c>
      <c r="PCB48" s="108">
        <f t="shared" ref="PCB48:PCB49" si="343">SUM(PBP48:PCA48)</f>
        <v>0</v>
      </c>
      <c r="PCS48" s="108" t="s">
        <v>90</v>
      </c>
      <c r="PCU48" s="108" t="s">
        <v>63</v>
      </c>
      <c r="PDH48" s="108">
        <f t="shared" ref="PDH48:PDH49" si="344">SUM(PCV48:PDG48)</f>
        <v>0</v>
      </c>
      <c r="PDY48" s="108" t="s">
        <v>90</v>
      </c>
      <c r="PEA48" s="108" t="s">
        <v>63</v>
      </c>
      <c r="PEN48" s="108">
        <f t="shared" ref="PEN48:PEN49" si="345">SUM(PEB48:PEM48)</f>
        <v>0</v>
      </c>
      <c r="PFE48" s="108" t="s">
        <v>90</v>
      </c>
      <c r="PFG48" s="108" t="s">
        <v>63</v>
      </c>
      <c r="PFT48" s="108">
        <f t="shared" ref="PFT48:PFT49" si="346">SUM(PFH48:PFS48)</f>
        <v>0</v>
      </c>
      <c r="PGK48" s="108" t="s">
        <v>90</v>
      </c>
      <c r="PGM48" s="108" t="s">
        <v>63</v>
      </c>
      <c r="PGZ48" s="108">
        <f t="shared" ref="PGZ48:PGZ49" si="347">SUM(PGN48:PGY48)</f>
        <v>0</v>
      </c>
      <c r="PHQ48" s="108" t="s">
        <v>90</v>
      </c>
      <c r="PHS48" s="108" t="s">
        <v>63</v>
      </c>
      <c r="PIF48" s="108">
        <f t="shared" ref="PIF48:PIF49" si="348">SUM(PHT48:PIE48)</f>
        <v>0</v>
      </c>
      <c r="PIW48" s="108" t="s">
        <v>90</v>
      </c>
      <c r="PIY48" s="108" t="s">
        <v>63</v>
      </c>
      <c r="PJL48" s="108">
        <f t="shared" ref="PJL48:PJL49" si="349">SUM(PIZ48:PJK48)</f>
        <v>0</v>
      </c>
      <c r="PKC48" s="108" t="s">
        <v>90</v>
      </c>
      <c r="PKE48" s="108" t="s">
        <v>63</v>
      </c>
      <c r="PKR48" s="108">
        <f t="shared" ref="PKR48:PKR49" si="350">SUM(PKF48:PKQ48)</f>
        <v>0</v>
      </c>
      <c r="PLI48" s="108" t="s">
        <v>90</v>
      </c>
      <c r="PLK48" s="108" t="s">
        <v>63</v>
      </c>
      <c r="PLX48" s="108">
        <f t="shared" ref="PLX48:PLX49" si="351">SUM(PLL48:PLW48)</f>
        <v>0</v>
      </c>
      <c r="PMO48" s="108" t="s">
        <v>90</v>
      </c>
      <c r="PMQ48" s="108" t="s">
        <v>63</v>
      </c>
      <c r="PND48" s="108">
        <f t="shared" ref="PND48:PND49" si="352">SUM(PMR48:PNC48)</f>
        <v>0</v>
      </c>
      <c r="PNU48" s="108" t="s">
        <v>90</v>
      </c>
      <c r="PNW48" s="108" t="s">
        <v>63</v>
      </c>
      <c r="POJ48" s="108">
        <f t="shared" ref="POJ48:POJ49" si="353">SUM(PNX48:POI48)</f>
        <v>0</v>
      </c>
      <c r="PPA48" s="108" t="s">
        <v>90</v>
      </c>
      <c r="PPC48" s="108" t="s">
        <v>63</v>
      </c>
      <c r="PPP48" s="108">
        <f t="shared" ref="PPP48:PPP49" si="354">SUM(PPD48:PPO48)</f>
        <v>0</v>
      </c>
      <c r="PQG48" s="108" t="s">
        <v>90</v>
      </c>
      <c r="PQI48" s="108" t="s">
        <v>63</v>
      </c>
      <c r="PQV48" s="108">
        <f t="shared" ref="PQV48:PQV49" si="355">SUM(PQJ48:PQU48)</f>
        <v>0</v>
      </c>
      <c r="PRM48" s="108" t="s">
        <v>90</v>
      </c>
      <c r="PRO48" s="108" t="s">
        <v>63</v>
      </c>
      <c r="PSB48" s="108">
        <f t="shared" ref="PSB48:PSB49" si="356">SUM(PRP48:PSA48)</f>
        <v>0</v>
      </c>
      <c r="PSS48" s="108" t="s">
        <v>90</v>
      </c>
      <c r="PSU48" s="108" t="s">
        <v>63</v>
      </c>
      <c r="PTH48" s="108">
        <f t="shared" ref="PTH48:PTH49" si="357">SUM(PSV48:PTG48)</f>
        <v>0</v>
      </c>
      <c r="PTY48" s="108" t="s">
        <v>90</v>
      </c>
      <c r="PUA48" s="108" t="s">
        <v>63</v>
      </c>
      <c r="PUN48" s="108">
        <f t="shared" ref="PUN48:PUN49" si="358">SUM(PUB48:PUM48)</f>
        <v>0</v>
      </c>
      <c r="PVE48" s="108" t="s">
        <v>90</v>
      </c>
      <c r="PVG48" s="108" t="s">
        <v>63</v>
      </c>
      <c r="PVT48" s="108">
        <f t="shared" ref="PVT48:PVT49" si="359">SUM(PVH48:PVS48)</f>
        <v>0</v>
      </c>
      <c r="PWK48" s="108" t="s">
        <v>90</v>
      </c>
      <c r="PWM48" s="108" t="s">
        <v>63</v>
      </c>
      <c r="PWZ48" s="108">
        <f t="shared" ref="PWZ48:PWZ49" si="360">SUM(PWN48:PWY48)</f>
        <v>0</v>
      </c>
      <c r="PXQ48" s="108" t="s">
        <v>90</v>
      </c>
      <c r="PXS48" s="108" t="s">
        <v>63</v>
      </c>
      <c r="PYF48" s="108">
        <f t="shared" ref="PYF48:PYF49" si="361">SUM(PXT48:PYE48)</f>
        <v>0</v>
      </c>
      <c r="PYW48" s="108" t="s">
        <v>90</v>
      </c>
      <c r="PYY48" s="108" t="s">
        <v>63</v>
      </c>
      <c r="PZL48" s="108">
        <f t="shared" ref="PZL48:PZL49" si="362">SUM(PYZ48:PZK48)</f>
        <v>0</v>
      </c>
      <c r="QAC48" s="108" t="s">
        <v>90</v>
      </c>
      <c r="QAE48" s="108" t="s">
        <v>63</v>
      </c>
      <c r="QAR48" s="108">
        <f t="shared" ref="QAR48:QAR49" si="363">SUM(QAF48:QAQ48)</f>
        <v>0</v>
      </c>
      <c r="QBI48" s="108" t="s">
        <v>90</v>
      </c>
      <c r="QBK48" s="108" t="s">
        <v>63</v>
      </c>
      <c r="QBX48" s="108">
        <f t="shared" ref="QBX48:QBX49" si="364">SUM(QBL48:QBW48)</f>
        <v>0</v>
      </c>
      <c r="QCO48" s="108" t="s">
        <v>90</v>
      </c>
      <c r="QCQ48" s="108" t="s">
        <v>63</v>
      </c>
      <c r="QDD48" s="108">
        <f t="shared" ref="QDD48:QDD49" si="365">SUM(QCR48:QDC48)</f>
        <v>0</v>
      </c>
      <c r="QDU48" s="108" t="s">
        <v>90</v>
      </c>
      <c r="QDW48" s="108" t="s">
        <v>63</v>
      </c>
      <c r="QEJ48" s="108">
        <f t="shared" ref="QEJ48:QEJ49" si="366">SUM(QDX48:QEI48)</f>
        <v>0</v>
      </c>
      <c r="QFA48" s="108" t="s">
        <v>90</v>
      </c>
      <c r="QFC48" s="108" t="s">
        <v>63</v>
      </c>
      <c r="QFP48" s="108">
        <f t="shared" ref="QFP48:QFP49" si="367">SUM(QFD48:QFO48)</f>
        <v>0</v>
      </c>
      <c r="QGG48" s="108" t="s">
        <v>90</v>
      </c>
      <c r="QGI48" s="108" t="s">
        <v>63</v>
      </c>
      <c r="QGV48" s="108">
        <f t="shared" ref="QGV48:QGV49" si="368">SUM(QGJ48:QGU48)</f>
        <v>0</v>
      </c>
      <c r="QHM48" s="108" t="s">
        <v>90</v>
      </c>
      <c r="QHO48" s="108" t="s">
        <v>63</v>
      </c>
      <c r="QIB48" s="108">
        <f t="shared" ref="QIB48:QIB49" si="369">SUM(QHP48:QIA48)</f>
        <v>0</v>
      </c>
      <c r="QIS48" s="108" t="s">
        <v>90</v>
      </c>
      <c r="QIU48" s="108" t="s">
        <v>63</v>
      </c>
      <c r="QJH48" s="108">
        <f t="shared" ref="QJH48:QJH49" si="370">SUM(QIV48:QJG48)</f>
        <v>0</v>
      </c>
      <c r="QJY48" s="108" t="s">
        <v>90</v>
      </c>
      <c r="QKA48" s="108" t="s">
        <v>63</v>
      </c>
      <c r="QKN48" s="108">
        <f t="shared" ref="QKN48:QKN49" si="371">SUM(QKB48:QKM48)</f>
        <v>0</v>
      </c>
      <c r="QLE48" s="108" t="s">
        <v>90</v>
      </c>
      <c r="QLG48" s="108" t="s">
        <v>63</v>
      </c>
      <c r="QLT48" s="108">
        <f t="shared" ref="QLT48:QLT49" si="372">SUM(QLH48:QLS48)</f>
        <v>0</v>
      </c>
      <c r="QMK48" s="108" t="s">
        <v>90</v>
      </c>
      <c r="QMM48" s="108" t="s">
        <v>63</v>
      </c>
      <c r="QMZ48" s="108">
        <f t="shared" ref="QMZ48:QMZ49" si="373">SUM(QMN48:QMY48)</f>
        <v>0</v>
      </c>
      <c r="QNQ48" s="108" t="s">
        <v>90</v>
      </c>
      <c r="QNS48" s="108" t="s">
        <v>63</v>
      </c>
      <c r="QOF48" s="108">
        <f t="shared" ref="QOF48:QOF49" si="374">SUM(QNT48:QOE48)</f>
        <v>0</v>
      </c>
      <c r="QOW48" s="108" t="s">
        <v>90</v>
      </c>
      <c r="QOY48" s="108" t="s">
        <v>63</v>
      </c>
      <c r="QPL48" s="108">
        <f t="shared" ref="QPL48:QPL49" si="375">SUM(QOZ48:QPK48)</f>
        <v>0</v>
      </c>
      <c r="QQC48" s="108" t="s">
        <v>90</v>
      </c>
      <c r="QQE48" s="108" t="s">
        <v>63</v>
      </c>
      <c r="QQR48" s="108">
        <f t="shared" ref="QQR48:QQR49" si="376">SUM(QQF48:QQQ48)</f>
        <v>0</v>
      </c>
      <c r="QRI48" s="108" t="s">
        <v>90</v>
      </c>
      <c r="QRK48" s="108" t="s">
        <v>63</v>
      </c>
      <c r="QRX48" s="108">
        <f t="shared" ref="QRX48:QRX49" si="377">SUM(QRL48:QRW48)</f>
        <v>0</v>
      </c>
      <c r="QSO48" s="108" t="s">
        <v>90</v>
      </c>
      <c r="QSQ48" s="108" t="s">
        <v>63</v>
      </c>
      <c r="QTD48" s="108">
        <f t="shared" ref="QTD48:QTD49" si="378">SUM(QSR48:QTC48)</f>
        <v>0</v>
      </c>
      <c r="QTU48" s="108" t="s">
        <v>90</v>
      </c>
      <c r="QTW48" s="108" t="s">
        <v>63</v>
      </c>
      <c r="QUJ48" s="108">
        <f t="shared" ref="QUJ48:QUJ49" si="379">SUM(QTX48:QUI48)</f>
        <v>0</v>
      </c>
      <c r="QVA48" s="108" t="s">
        <v>90</v>
      </c>
      <c r="QVC48" s="108" t="s">
        <v>63</v>
      </c>
      <c r="QVP48" s="108">
        <f t="shared" ref="QVP48:QVP49" si="380">SUM(QVD48:QVO48)</f>
        <v>0</v>
      </c>
      <c r="QWG48" s="108" t="s">
        <v>90</v>
      </c>
      <c r="QWI48" s="108" t="s">
        <v>63</v>
      </c>
      <c r="QWV48" s="108">
        <f t="shared" ref="QWV48:QWV49" si="381">SUM(QWJ48:QWU48)</f>
        <v>0</v>
      </c>
      <c r="QXM48" s="108" t="s">
        <v>90</v>
      </c>
      <c r="QXO48" s="108" t="s">
        <v>63</v>
      </c>
      <c r="QYB48" s="108">
        <f t="shared" ref="QYB48:QYB49" si="382">SUM(QXP48:QYA48)</f>
        <v>0</v>
      </c>
      <c r="QYS48" s="108" t="s">
        <v>90</v>
      </c>
      <c r="QYU48" s="108" t="s">
        <v>63</v>
      </c>
      <c r="QZH48" s="108">
        <f t="shared" ref="QZH48:QZH49" si="383">SUM(QYV48:QZG48)</f>
        <v>0</v>
      </c>
      <c r="QZY48" s="108" t="s">
        <v>90</v>
      </c>
      <c r="RAA48" s="108" t="s">
        <v>63</v>
      </c>
      <c r="RAN48" s="108">
        <f t="shared" ref="RAN48:RAN49" si="384">SUM(RAB48:RAM48)</f>
        <v>0</v>
      </c>
      <c r="RBE48" s="108" t="s">
        <v>90</v>
      </c>
      <c r="RBG48" s="108" t="s">
        <v>63</v>
      </c>
      <c r="RBT48" s="108">
        <f t="shared" ref="RBT48:RBT49" si="385">SUM(RBH48:RBS48)</f>
        <v>0</v>
      </c>
      <c r="RCK48" s="108" t="s">
        <v>90</v>
      </c>
      <c r="RCM48" s="108" t="s">
        <v>63</v>
      </c>
      <c r="RCZ48" s="108">
        <f t="shared" ref="RCZ48:RCZ49" si="386">SUM(RCN48:RCY48)</f>
        <v>0</v>
      </c>
      <c r="RDQ48" s="108" t="s">
        <v>90</v>
      </c>
      <c r="RDS48" s="108" t="s">
        <v>63</v>
      </c>
      <c r="REF48" s="108">
        <f t="shared" ref="REF48:REF49" si="387">SUM(RDT48:REE48)</f>
        <v>0</v>
      </c>
      <c r="REW48" s="108" t="s">
        <v>90</v>
      </c>
      <c r="REY48" s="108" t="s">
        <v>63</v>
      </c>
      <c r="RFL48" s="108">
        <f t="shared" ref="RFL48:RFL49" si="388">SUM(REZ48:RFK48)</f>
        <v>0</v>
      </c>
      <c r="RGC48" s="108" t="s">
        <v>90</v>
      </c>
      <c r="RGE48" s="108" t="s">
        <v>63</v>
      </c>
      <c r="RGR48" s="108">
        <f t="shared" ref="RGR48:RGR49" si="389">SUM(RGF48:RGQ48)</f>
        <v>0</v>
      </c>
      <c r="RHI48" s="108" t="s">
        <v>90</v>
      </c>
      <c r="RHK48" s="108" t="s">
        <v>63</v>
      </c>
      <c r="RHX48" s="108">
        <f t="shared" ref="RHX48:RHX49" si="390">SUM(RHL48:RHW48)</f>
        <v>0</v>
      </c>
      <c r="RIO48" s="108" t="s">
        <v>90</v>
      </c>
      <c r="RIQ48" s="108" t="s">
        <v>63</v>
      </c>
      <c r="RJD48" s="108">
        <f t="shared" ref="RJD48:RJD49" si="391">SUM(RIR48:RJC48)</f>
        <v>0</v>
      </c>
      <c r="RJU48" s="108" t="s">
        <v>90</v>
      </c>
      <c r="RJW48" s="108" t="s">
        <v>63</v>
      </c>
      <c r="RKJ48" s="108">
        <f t="shared" ref="RKJ48:RKJ49" si="392">SUM(RJX48:RKI48)</f>
        <v>0</v>
      </c>
      <c r="RLA48" s="108" t="s">
        <v>90</v>
      </c>
      <c r="RLC48" s="108" t="s">
        <v>63</v>
      </c>
      <c r="RLP48" s="108">
        <f t="shared" ref="RLP48:RLP49" si="393">SUM(RLD48:RLO48)</f>
        <v>0</v>
      </c>
      <c r="RMG48" s="108" t="s">
        <v>90</v>
      </c>
      <c r="RMI48" s="108" t="s">
        <v>63</v>
      </c>
      <c r="RMV48" s="108">
        <f t="shared" ref="RMV48:RMV49" si="394">SUM(RMJ48:RMU48)</f>
        <v>0</v>
      </c>
      <c r="RNM48" s="108" t="s">
        <v>90</v>
      </c>
      <c r="RNO48" s="108" t="s">
        <v>63</v>
      </c>
      <c r="ROB48" s="108">
        <f t="shared" ref="ROB48:ROB49" si="395">SUM(RNP48:ROA48)</f>
        <v>0</v>
      </c>
      <c r="ROS48" s="108" t="s">
        <v>90</v>
      </c>
      <c r="ROU48" s="108" t="s">
        <v>63</v>
      </c>
      <c r="RPH48" s="108">
        <f t="shared" ref="RPH48:RPH49" si="396">SUM(ROV48:RPG48)</f>
        <v>0</v>
      </c>
      <c r="RPY48" s="108" t="s">
        <v>90</v>
      </c>
      <c r="RQA48" s="108" t="s">
        <v>63</v>
      </c>
      <c r="RQN48" s="108">
        <f t="shared" ref="RQN48:RQN49" si="397">SUM(RQB48:RQM48)</f>
        <v>0</v>
      </c>
      <c r="RRE48" s="108" t="s">
        <v>90</v>
      </c>
      <c r="RRG48" s="108" t="s">
        <v>63</v>
      </c>
      <c r="RRT48" s="108">
        <f t="shared" ref="RRT48:RRT49" si="398">SUM(RRH48:RRS48)</f>
        <v>0</v>
      </c>
      <c r="RSK48" s="108" t="s">
        <v>90</v>
      </c>
      <c r="RSM48" s="108" t="s">
        <v>63</v>
      </c>
      <c r="RSZ48" s="108">
        <f t="shared" ref="RSZ48:RSZ49" si="399">SUM(RSN48:RSY48)</f>
        <v>0</v>
      </c>
      <c r="RTQ48" s="108" t="s">
        <v>90</v>
      </c>
      <c r="RTS48" s="108" t="s">
        <v>63</v>
      </c>
      <c r="RUF48" s="108">
        <f t="shared" ref="RUF48:RUF49" si="400">SUM(RTT48:RUE48)</f>
        <v>0</v>
      </c>
      <c r="RUW48" s="108" t="s">
        <v>90</v>
      </c>
      <c r="RUY48" s="108" t="s">
        <v>63</v>
      </c>
      <c r="RVL48" s="108">
        <f t="shared" ref="RVL48:RVL49" si="401">SUM(RUZ48:RVK48)</f>
        <v>0</v>
      </c>
      <c r="RWC48" s="108" t="s">
        <v>90</v>
      </c>
      <c r="RWE48" s="108" t="s">
        <v>63</v>
      </c>
      <c r="RWR48" s="108">
        <f t="shared" ref="RWR48:RWR49" si="402">SUM(RWF48:RWQ48)</f>
        <v>0</v>
      </c>
      <c r="RXI48" s="108" t="s">
        <v>90</v>
      </c>
      <c r="RXK48" s="108" t="s">
        <v>63</v>
      </c>
      <c r="RXX48" s="108">
        <f t="shared" ref="RXX48:RXX49" si="403">SUM(RXL48:RXW48)</f>
        <v>0</v>
      </c>
      <c r="RYO48" s="108" t="s">
        <v>90</v>
      </c>
      <c r="RYQ48" s="108" t="s">
        <v>63</v>
      </c>
      <c r="RZD48" s="108">
        <f t="shared" ref="RZD48:RZD49" si="404">SUM(RYR48:RZC48)</f>
        <v>0</v>
      </c>
      <c r="RZU48" s="108" t="s">
        <v>90</v>
      </c>
      <c r="RZW48" s="108" t="s">
        <v>63</v>
      </c>
      <c r="SAJ48" s="108">
        <f t="shared" ref="SAJ48:SAJ49" si="405">SUM(RZX48:SAI48)</f>
        <v>0</v>
      </c>
      <c r="SBA48" s="108" t="s">
        <v>90</v>
      </c>
      <c r="SBC48" s="108" t="s">
        <v>63</v>
      </c>
      <c r="SBP48" s="108">
        <f t="shared" ref="SBP48:SBP49" si="406">SUM(SBD48:SBO48)</f>
        <v>0</v>
      </c>
      <c r="SCG48" s="108" t="s">
        <v>90</v>
      </c>
      <c r="SCI48" s="108" t="s">
        <v>63</v>
      </c>
      <c r="SCV48" s="108">
        <f t="shared" ref="SCV48:SCV49" si="407">SUM(SCJ48:SCU48)</f>
        <v>0</v>
      </c>
      <c r="SDM48" s="108" t="s">
        <v>90</v>
      </c>
      <c r="SDO48" s="108" t="s">
        <v>63</v>
      </c>
      <c r="SEB48" s="108">
        <f t="shared" ref="SEB48:SEB49" si="408">SUM(SDP48:SEA48)</f>
        <v>0</v>
      </c>
      <c r="SES48" s="108" t="s">
        <v>90</v>
      </c>
      <c r="SEU48" s="108" t="s">
        <v>63</v>
      </c>
      <c r="SFH48" s="108">
        <f t="shared" ref="SFH48:SFH49" si="409">SUM(SEV48:SFG48)</f>
        <v>0</v>
      </c>
      <c r="SFY48" s="108" t="s">
        <v>90</v>
      </c>
      <c r="SGA48" s="108" t="s">
        <v>63</v>
      </c>
      <c r="SGN48" s="108">
        <f t="shared" ref="SGN48:SGN49" si="410">SUM(SGB48:SGM48)</f>
        <v>0</v>
      </c>
      <c r="SHE48" s="108" t="s">
        <v>90</v>
      </c>
      <c r="SHG48" s="108" t="s">
        <v>63</v>
      </c>
      <c r="SHT48" s="108">
        <f t="shared" ref="SHT48:SHT49" si="411">SUM(SHH48:SHS48)</f>
        <v>0</v>
      </c>
      <c r="SIK48" s="108" t="s">
        <v>90</v>
      </c>
      <c r="SIM48" s="108" t="s">
        <v>63</v>
      </c>
      <c r="SIZ48" s="108">
        <f t="shared" ref="SIZ48:SIZ49" si="412">SUM(SIN48:SIY48)</f>
        <v>0</v>
      </c>
      <c r="SJQ48" s="108" t="s">
        <v>90</v>
      </c>
      <c r="SJS48" s="108" t="s">
        <v>63</v>
      </c>
      <c r="SKF48" s="108">
        <f t="shared" ref="SKF48:SKF49" si="413">SUM(SJT48:SKE48)</f>
        <v>0</v>
      </c>
      <c r="SKW48" s="108" t="s">
        <v>90</v>
      </c>
      <c r="SKY48" s="108" t="s">
        <v>63</v>
      </c>
      <c r="SLL48" s="108">
        <f t="shared" ref="SLL48:SLL49" si="414">SUM(SKZ48:SLK48)</f>
        <v>0</v>
      </c>
      <c r="SMC48" s="108" t="s">
        <v>90</v>
      </c>
      <c r="SME48" s="108" t="s">
        <v>63</v>
      </c>
      <c r="SMR48" s="108">
        <f t="shared" ref="SMR48:SMR49" si="415">SUM(SMF48:SMQ48)</f>
        <v>0</v>
      </c>
      <c r="SNI48" s="108" t="s">
        <v>90</v>
      </c>
      <c r="SNK48" s="108" t="s">
        <v>63</v>
      </c>
      <c r="SNX48" s="108">
        <f t="shared" ref="SNX48:SNX49" si="416">SUM(SNL48:SNW48)</f>
        <v>0</v>
      </c>
      <c r="SOO48" s="108" t="s">
        <v>90</v>
      </c>
      <c r="SOQ48" s="108" t="s">
        <v>63</v>
      </c>
      <c r="SPD48" s="108">
        <f t="shared" ref="SPD48:SPD49" si="417">SUM(SOR48:SPC48)</f>
        <v>0</v>
      </c>
      <c r="SPU48" s="108" t="s">
        <v>90</v>
      </c>
      <c r="SPW48" s="108" t="s">
        <v>63</v>
      </c>
      <c r="SQJ48" s="108">
        <f t="shared" ref="SQJ48:SQJ49" si="418">SUM(SPX48:SQI48)</f>
        <v>0</v>
      </c>
      <c r="SRA48" s="108" t="s">
        <v>90</v>
      </c>
      <c r="SRC48" s="108" t="s">
        <v>63</v>
      </c>
      <c r="SRP48" s="108">
        <f t="shared" ref="SRP48:SRP49" si="419">SUM(SRD48:SRO48)</f>
        <v>0</v>
      </c>
      <c r="SSG48" s="108" t="s">
        <v>90</v>
      </c>
      <c r="SSI48" s="108" t="s">
        <v>63</v>
      </c>
      <c r="SSV48" s="108">
        <f t="shared" ref="SSV48:SSV49" si="420">SUM(SSJ48:SSU48)</f>
        <v>0</v>
      </c>
      <c r="STM48" s="108" t="s">
        <v>90</v>
      </c>
      <c r="STO48" s="108" t="s">
        <v>63</v>
      </c>
      <c r="SUB48" s="108">
        <f t="shared" ref="SUB48:SUB49" si="421">SUM(STP48:SUA48)</f>
        <v>0</v>
      </c>
      <c r="SUS48" s="108" t="s">
        <v>90</v>
      </c>
      <c r="SUU48" s="108" t="s">
        <v>63</v>
      </c>
      <c r="SVH48" s="108">
        <f t="shared" ref="SVH48:SVH49" si="422">SUM(SUV48:SVG48)</f>
        <v>0</v>
      </c>
      <c r="SVY48" s="108" t="s">
        <v>90</v>
      </c>
      <c r="SWA48" s="108" t="s">
        <v>63</v>
      </c>
      <c r="SWN48" s="108">
        <f t="shared" ref="SWN48:SWN49" si="423">SUM(SWB48:SWM48)</f>
        <v>0</v>
      </c>
      <c r="SXE48" s="108" t="s">
        <v>90</v>
      </c>
      <c r="SXG48" s="108" t="s">
        <v>63</v>
      </c>
      <c r="SXT48" s="108">
        <f t="shared" ref="SXT48:SXT49" si="424">SUM(SXH48:SXS48)</f>
        <v>0</v>
      </c>
      <c r="SYK48" s="108" t="s">
        <v>90</v>
      </c>
      <c r="SYM48" s="108" t="s">
        <v>63</v>
      </c>
      <c r="SYZ48" s="108">
        <f t="shared" ref="SYZ48:SYZ49" si="425">SUM(SYN48:SYY48)</f>
        <v>0</v>
      </c>
      <c r="SZQ48" s="108" t="s">
        <v>90</v>
      </c>
      <c r="SZS48" s="108" t="s">
        <v>63</v>
      </c>
      <c r="TAF48" s="108">
        <f t="shared" ref="TAF48:TAF49" si="426">SUM(SZT48:TAE48)</f>
        <v>0</v>
      </c>
      <c r="TAW48" s="108" t="s">
        <v>90</v>
      </c>
      <c r="TAY48" s="108" t="s">
        <v>63</v>
      </c>
      <c r="TBL48" s="108">
        <f t="shared" ref="TBL48:TBL49" si="427">SUM(TAZ48:TBK48)</f>
        <v>0</v>
      </c>
      <c r="TCC48" s="108" t="s">
        <v>90</v>
      </c>
      <c r="TCE48" s="108" t="s">
        <v>63</v>
      </c>
      <c r="TCR48" s="108">
        <f t="shared" ref="TCR48:TCR49" si="428">SUM(TCF48:TCQ48)</f>
        <v>0</v>
      </c>
      <c r="TDI48" s="108" t="s">
        <v>90</v>
      </c>
      <c r="TDK48" s="108" t="s">
        <v>63</v>
      </c>
      <c r="TDX48" s="108">
        <f t="shared" ref="TDX48:TDX49" si="429">SUM(TDL48:TDW48)</f>
        <v>0</v>
      </c>
      <c r="TEO48" s="108" t="s">
        <v>90</v>
      </c>
      <c r="TEQ48" s="108" t="s">
        <v>63</v>
      </c>
      <c r="TFD48" s="108">
        <f t="shared" ref="TFD48:TFD49" si="430">SUM(TER48:TFC48)</f>
        <v>0</v>
      </c>
      <c r="TFU48" s="108" t="s">
        <v>90</v>
      </c>
      <c r="TFW48" s="108" t="s">
        <v>63</v>
      </c>
      <c r="TGJ48" s="108">
        <f t="shared" ref="TGJ48:TGJ49" si="431">SUM(TFX48:TGI48)</f>
        <v>0</v>
      </c>
      <c r="THA48" s="108" t="s">
        <v>90</v>
      </c>
      <c r="THC48" s="108" t="s">
        <v>63</v>
      </c>
      <c r="THP48" s="108">
        <f t="shared" ref="THP48:THP49" si="432">SUM(THD48:THO48)</f>
        <v>0</v>
      </c>
      <c r="TIG48" s="108" t="s">
        <v>90</v>
      </c>
      <c r="TII48" s="108" t="s">
        <v>63</v>
      </c>
      <c r="TIV48" s="108">
        <f t="shared" ref="TIV48:TIV49" si="433">SUM(TIJ48:TIU48)</f>
        <v>0</v>
      </c>
      <c r="TJM48" s="108" t="s">
        <v>90</v>
      </c>
      <c r="TJO48" s="108" t="s">
        <v>63</v>
      </c>
      <c r="TKB48" s="108">
        <f t="shared" ref="TKB48:TKB49" si="434">SUM(TJP48:TKA48)</f>
        <v>0</v>
      </c>
      <c r="TKS48" s="108" t="s">
        <v>90</v>
      </c>
      <c r="TKU48" s="108" t="s">
        <v>63</v>
      </c>
      <c r="TLH48" s="108">
        <f t="shared" ref="TLH48:TLH49" si="435">SUM(TKV48:TLG48)</f>
        <v>0</v>
      </c>
      <c r="TLY48" s="108" t="s">
        <v>90</v>
      </c>
      <c r="TMA48" s="108" t="s">
        <v>63</v>
      </c>
      <c r="TMN48" s="108">
        <f t="shared" ref="TMN48:TMN49" si="436">SUM(TMB48:TMM48)</f>
        <v>0</v>
      </c>
      <c r="TNE48" s="108" t="s">
        <v>90</v>
      </c>
      <c r="TNG48" s="108" t="s">
        <v>63</v>
      </c>
      <c r="TNT48" s="108">
        <f t="shared" ref="TNT48:TNT49" si="437">SUM(TNH48:TNS48)</f>
        <v>0</v>
      </c>
      <c r="TOK48" s="108" t="s">
        <v>90</v>
      </c>
      <c r="TOM48" s="108" t="s">
        <v>63</v>
      </c>
      <c r="TOZ48" s="108">
        <f t="shared" ref="TOZ48:TOZ49" si="438">SUM(TON48:TOY48)</f>
        <v>0</v>
      </c>
      <c r="TPQ48" s="108" t="s">
        <v>90</v>
      </c>
      <c r="TPS48" s="108" t="s">
        <v>63</v>
      </c>
      <c r="TQF48" s="108">
        <f t="shared" ref="TQF48:TQF49" si="439">SUM(TPT48:TQE48)</f>
        <v>0</v>
      </c>
      <c r="TQW48" s="108" t="s">
        <v>90</v>
      </c>
      <c r="TQY48" s="108" t="s">
        <v>63</v>
      </c>
      <c r="TRL48" s="108">
        <f t="shared" ref="TRL48:TRL49" si="440">SUM(TQZ48:TRK48)</f>
        <v>0</v>
      </c>
      <c r="TSC48" s="108" t="s">
        <v>90</v>
      </c>
      <c r="TSE48" s="108" t="s">
        <v>63</v>
      </c>
      <c r="TSR48" s="108">
        <f t="shared" ref="TSR48:TSR49" si="441">SUM(TSF48:TSQ48)</f>
        <v>0</v>
      </c>
      <c r="TTI48" s="108" t="s">
        <v>90</v>
      </c>
      <c r="TTK48" s="108" t="s">
        <v>63</v>
      </c>
      <c r="TTX48" s="108">
        <f t="shared" ref="TTX48:TTX49" si="442">SUM(TTL48:TTW48)</f>
        <v>0</v>
      </c>
      <c r="TUO48" s="108" t="s">
        <v>90</v>
      </c>
      <c r="TUQ48" s="108" t="s">
        <v>63</v>
      </c>
      <c r="TVD48" s="108">
        <f t="shared" ref="TVD48:TVD49" si="443">SUM(TUR48:TVC48)</f>
        <v>0</v>
      </c>
      <c r="TVU48" s="108" t="s">
        <v>90</v>
      </c>
      <c r="TVW48" s="108" t="s">
        <v>63</v>
      </c>
      <c r="TWJ48" s="108">
        <f t="shared" ref="TWJ48:TWJ49" si="444">SUM(TVX48:TWI48)</f>
        <v>0</v>
      </c>
      <c r="TXA48" s="108" t="s">
        <v>90</v>
      </c>
      <c r="TXC48" s="108" t="s">
        <v>63</v>
      </c>
      <c r="TXP48" s="108">
        <f t="shared" ref="TXP48:TXP49" si="445">SUM(TXD48:TXO48)</f>
        <v>0</v>
      </c>
      <c r="TYG48" s="108" t="s">
        <v>90</v>
      </c>
      <c r="TYI48" s="108" t="s">
        <v>63</v>
      </c>
      <c r="TYV48" s="108">
        <f t="shared" ref="TYV48:TYV49" si="446">SUM(TYJ48:TYU48)</f>
        <v>0</v>
      </c>
      <c r="TZM48" s="108" t="s">
        <v>90</v>
      </c>
      <c r="TZO48" s="108" t="s">
        <v>63</v>
      </c>
      <c r="UAB48" s="108">
        <f t="shared" ref="UAB48:UAB49" si="447">SUM(TZP48:UAA48)</f>
        <v>0</v>
      </c>
      <c r="UAS48" s="108" t="s">
        <v>90</v>
      </c>
      <c r="UAU48" s="108" t="s">
        <v>63</v>
      </c>
      <c r="UBH48" s="108">
        <f t="shared" ref="UBH48:UBH49" si="448">SUM(UAV48:UBG48)</f>
        <v>0</v>
      </c>
      <c r="UBY48" s="108" t="s">
        <v>90</v>
      </c>
      <c r="UCA48" s="108" t="s">
        <v>63</v>
      </c>
      <c r="UCN48" s="108">
        <f t="shared" ref="UCN48:UCN49" si="449">SUM(UCB48:UCM48)</f>
        <v>0</v>
      </c>
      <c r="UDE48" s="108" t="s">
        <v>90</v>
      </c>
      <c r="UDG48" s="108" t="s">
        <v>63</v>
      </c>
      <c r="UDT48" s="108">
        <f t="shared" ref="UDT48:UDT49" si="450">SUM(UDH48:UDS48)</f>
        <v>0</v>
      </c>
      <c r="UEK48" s="108" t="s">
        <v>90</v>
      </c>
      <c r="UEM48" s="108" t="s">
        <v>63</v>
      </c>
      <c r="UEZ48" s="108">
        <f t="shared" ref="UEZ48:UEZ49" si="451">SUM(UEN48:UEY48)</f>
        <v>0</v>
      </c>
      <c r="UFQ48" s="108" t="s">
        <v>90</v>
      </c>
      <c r="UFS48" s="108" t="s">
        <v>63</v>
      </c>
      <c r="UGF48" s="108">
        <f t="shared" ref="UGF48:UGF49" si="452">SUM(UFT48:UGE48)</f>
        <v>0</v>
      </c>
      <c r="UGW48" s="108" t="s">
        <v>90</v>
      </c>
      <c r="UGY48" s="108" t="s">
        <v>63</v>
      </c>
      <c r="UHL48" s="108">
        <f t="shared" ref="UHL48:UHL49" si="453">SUM(UGZ48:UHK48)</f>
        <v>0</v>
      </c>
      <c r="UIC48" s="108" t="s">
        <v>90</v>
      </c>
      <c r="UIE48" s="108" t="s">
        <v>63</v>
      </c>
      <c r="UIR48" s="108">
        <f t="shared" ref="UIR48:UIR49" si="454">SUM(UIF48:UIQ48)</f>
        <v>0</v>
      </c>
      <c r="UJI48" s="108" t="s">
        <v>90</v>
      </c>
      <c r="UJK48" s="108" t="s">
        <v>63</v>
      </c>
      <c r="UJX48" s="108">
        <f t="shared" ref="UJX48:UJX49" si="455">SUM(UJL48:UJW48)</f>
        <v>0</v>
      </c>
      <c r="UKO48" s="108" t="s">
        <v>90</v>
      </c>
      <c r="UKQ48" s="108" t="s">
        <v>63</v>
      </c>
      <c r="ULD48" s="108">
        <f t="shared" ref="ULD48:ULD49" si="456">SUM(UKR48:ULC48)</f>
        <v>0</v>
      </c>
      <c r="ULU48" s="108" t="s">
        <v>90</v>
      </c>
      <c r="ULW48" s="108" t="s">
        <v>63</v>
      </c>
      <c r="UMJ48" s="108">
        <f t="shared" ref="UMJ48:UMJ49" si="457">SUM(ULX48:UMI48)</f>
        <v>0</v>
      </c>
      <c r="UNA48" s="108" t="s">
        <v>90</v>
      </c>
      <c r="UNC48" s="108" t="s">
        <v>63</v>
      </c>
      <c r="UNP48" s="108">
        <f t="shared" ref="UNP48:UNP49" si="458">SUM(UND48:UNO48)</f>
        <v>0</v>
      </c>
      <c r="UOG48" s="108" t="s">
        <v>90</v>
      </c>
      <c r="UOI48" s="108" t="s">
        <v>63</v>
      </c>
      <c r="UOV48" s="108">
        <f t="shared" ref="UOV48:UOV49" si="459">SUM(UOJ48:UOU48)</f>
        <v>0</v>
      </c>
      <c r="UPM48" s="108" t="s">
        <v>90</v>
      </c>
      <c r="UPO48" s="108" t="s">
        <v>63</v>
      </c>
      <c r="UQB48" s="108">
        <f t="shared" ref="UQB48:UQB49" si="460">SUM(UPP48:UQA48)</f>
        <v>0</v>
      </c>
      <c r="UQS48" s="108" t="s">
        <v>90</v>
      </c>
      <c r="UQU48" s="108" t="s">
        <v>63</v>
      </c>
      <c r="URH48" s="108">
        <f t="shared" ref="URH48:URH49" si="461">SUM(UQV48:URG48)</f>
        <v>0</v>
      </c>
      <c r="URY48" s="108" t="s">
        <v>90</v>
      </c>
      <c r="USA48" s="108" t="s">
        <v>63</v>
      </c>
      <c r="USN48" s="108">
        <f t="shared" ref="USN48:USN49" si="462">SUM(USB48:USM48)</f>
        <v>0</v>
      </c>
      <c r="UTE48" s="108" t="s">
        <v>90</v>
      </c>
      <c r="UTG48" s="108" t="s">
        <v>63</v>
      </c>
      <c r="UTT48" s="108">
        <f t="shared" ref="UTT48:UTT49" si="463">SUM(UTH48:UTS48)</f>
        <v>0</v>
      </c>
      <c r="UUK48" s="108" t="s">
        <v>90</v>
      </c>
      <c r="UUM48" s="108" t="s">
        <v>63</v>
      </c>
      <c r="UUZ48" s="108">
        <f t="shared" ref="UUZ48:UUZ49" si="464">SUM(UUN48:UUY48)</f>
        <v>0</v>
      </c>
      <c r="UVQ48" s="108" t="s">
        <v>90</v>
      </c>
      <c r="UVS48" s="108" t="s">
        <v>63</v>
      </c>
      <c r="UWF48" s="108">
        <f t="shared" ref="UWF48:UWF49" si="465">SUM(UVT48:UWE48)</f>
        <v>0</v>
      </c>
      <c r="UWW48" s="108" t="s">
        <v>90</v>
      </c>
      <c r="UWY48" s="108" t="s">
        <v>63</v>
      </c>
      <c r="UXL48" s="108">
        <f t="shared" ref="UXL48:UXL49" si="466">SUM(UWZ48:UXK48)</f>
        <v>0</v>
      </c>
      <c r="UYC48" s="108" t="s">
        <v>90</v>
      </c>
      <c r="UYE48" s="108" t="s">
        <v>63</v>
      </c>
      <c r="UYR48" s="108">
        <f t="shared" ref="UYR48:UYR49" si="467">SUM(UYF48:UYQ48)</f>
        <v>0</v>
      </c>
      <c r="UZI48" s="108" t="s">
        <v>90</v>
      </c>
      <c r="UZK48" s="108" t="s">
        <v>63</v>
      </c>
      <c r="UZX48" s="108">
        <f t="shared" ref="UZX48:UZX49" si="468">SUM(UZL48:UZW48)</f>
        <v>0</v>
      </c>
      <c r="VAO48" s="108" t="s">
        <v>90</v>
      </c>
      <c r="VAQ48" s="108" t="s">
        <v>63</v>
      </c>
      <c r="VBD48" s="108">
        <f t="shared" ref="VBD48:VBD49" si="469">SUM(VAR48:VBC48)</f>
        <v>0</v>
      </c>
      <c r="VBU48" s="108" t="s">
        <v>90</v>
      </c>
      <c r="VBW48" s="108" t="s">
        <v>63</v>
      </c>
      <c r="VCJ48" s="108">
        <f t="shared" ref="VCJ48:VCJ49" si="470">SUM(VBX48:VCI48)</f>
        <v>0</v>
      </c>
      <c r="VDA48" s="108" t="s">
        <v>90</v>
      </c>
      <c r="VDC48" s="108" t="s">
        <v>63</v>
      </c>
      <c r="VDP48" s="108">
        <f t="shared" ref="VDP48:VDP49" si="471">SUM(VDD48:VDO48)</f>
        <v>0</v>
      </c>
      <c r="VEG48" s="108" t="s">
        <v>90</v>
      </c>
      <c r="VEI48" s="108" t="s">
        <v>63</v>
      </c>
      <c r="VEV48" s="108">
        <f t="shared" ref="VEV48:VEV49" si="472">SUM(VEJ48:VEU48)</f>
        <v>0</v>
      </c>
      <c r="VFM48" s="108" t="s">
        <v>90</v>
      </c>
      <c r="VFO48" s="108" t="s">
        <v>63</v>
      </c>
      <c r="VGB48" s="108">
        <f t="shared" ref="VGB48:VGB49" si="473">SUM(VFP48:VGA48)</f>
        <v>0</v>
      </c>
      <c r="VGS48" s="108" t="s">
        <v>90</v>
      </c>
      <c r="VGU48" s="108" t="s">
        <v>63</v>
      </c>
      <c r="VHH48" s="108">
        <f t="shared" ref="VHH48:VHH49" si="474">SUM(VGV48:VHG48)</f>
        <v>0</v>
      </c>
      <c r="VHY48" s="108" t="s">
        <v>90</v>
      </c>
      <c r="VIA48" s="108" t="s">
        <v>63</v>
      </c>
      <c r="VIN48" s="108">
        <f t="shared" ref="VIN48:VIN49" si="475">SUM(VIB48:VIM48)</f>
        <v>0</v>
      </c>
      <c r="VJE48" s="108" t="s">
        <v>90</v>
      </c>
      <c r="VJG48" s="108" t="s">
        <v>63</v>
      </c>
      <c r="VJT48" s="108">
        <f t="shared" ref="VJT48:VJT49" si="476">SUM(VJH48:VJS48)</f>
        <v>0</v>
      </c>
      <c r="VKK48" s="108" t="s">
        <v>90</v>
      </c>
      <c r="VKM48" s="108" t="s">
        <v>63</v>
      </c>
      <c r="VKZ48" s="108">
        <f t="shared" ref="VKZ48:VKZ49" si="477">SUM(VKN48:VKY48)</f>
        <v>0</v>
      </c>
      <c r="VLQ48" s="108" t="s">
        <v>90</v>
      </c>
      <c r="VLS48" s="108" t="s">
        <v>63</v>
      </c>
      <c r="VMF48" s="108">
        <f t="shared" ref="VMF48:VMF49" si="478">SUM(VLT48:VME48)</f>
        <v>0</v>
      </c>
      <c r="VMW48" s="108" t="s">
        <v>90</v>
      </c>
      <c r="VMY48" s="108" t="s">
        <v>63</v>
      </c>
      <c r="VNL48" s="108">
        <f t="shared" ref="VNL48:VNL49" si="479">SUM(VMZ48:VNK48)</f>
        <v>0</v>
      </c>
      <c r="VOC48" s="108" t="s">
        <v>90</v>
      </c>
      <c r="VOE48" s="108" t="s">
        <v>63</v>
      </c>
      <c r="VOR48" s="108">
        <f t="shared" ref="VOR48:VOR49" si="480">SUM(VOF48:VOQ48)</f>
        <v>0</v>
      </c>
      <c r="VPI48" s="108" t="s">
        <v>90</v>
      </c>
      <c r="VPK48" s="108" t="s">
        <v>63</v>
      </c>
      <c r="VPX48" s="108">
        <f t="shared" ref="VPX48:VPX49" si="481">SUM(VPL48:VPW48)</f>
        <v>0</v>
      </c>
      <c r="VQO48" s="108" t="s">
        <v>90</v>
      </c>
      <c r="VQQ48" s="108" t="s">
        <v>63</v>
      </c>
      <c r="VRD48" s="108">
        <f t="shared" ref="VRD48:VRD49" si="482">SUM(VQR48:VRC48)</f>
        <v>0</v>
      </c>
      <c r="VRU48" s="108" t="s">
        <v>90</v>
      </c>
      <c r="VRW48" s="108" t="s">
        <v>63</v>
      </c>
      <c r="VSJ48" s="108">
        <f t="shared" ref="VSJ48:VSJ49" si="483">SUM(VRX48:VSI48)</f>
        <v>0</v>
      </c>
      <c r="VTA48" s="108" t="s">
        <v>90</v>
      </c>
      <c r="VTC48" s="108" t="s">
        <v>63</v>
      </c>
      <c r="VTP48" s="108">
        <f t="shared" ref="VTP48:VTP49" si="484">SUM(VTD48:VTO48)</f>
        <v>0</v>
      </c>
      <c r="VUG48" s="108" t="s">
        <v>90</v>
      </c>
      <c r="VUI48" s="108" t="s">
        <v>63</v>
      </c>
      <c r="VUV48" s="108">
        <f t="shared" ref="VUV48:VUV49" si="485">SUM(VUJ48:VUU48)</f>
        <v>0</v>
      </c>
      <c r="VVM48" s="108" t="s">
        <v>90</v>
      </c>
      <c r="VVO48" s="108" t="s">
        <v>63</v>
      </c>
      <c r="VWB48" s="108">
        <f t="shared" ref="VWB48:VWB49" si="486">SUM(VVP48:VWA48)</f>
        <v>0</v>
      </c>
      <c r="VWS48" s="108" t="s">
        <v>90</v>
      </c>
      <c r="VWU48" s="108" t="s">
        <v>63</v>
      </c>
      <c r="VXH48" s="108">
        <f t="shared" ref="VXH48:VXH49" si="487">SUM(VWV48:VXG48)</f>
        <v>0</v>
      </c>
      <c r="VXY48" s="108" t="s">
        <v>90</v>
      </c>
      <c r="VYA48" s="108" t="s">
        <v>63</v>
      </c>
      <c r="VYN48" s="108">
        <f t="shared" ref="VYN48:VYN49" si="488">SUM(VYB48:VYM48)</f>
        <v>0</v>
      </c>
      <c r="VZE48" s="108" t="s">
        <v>90</v>
      </c>
      <c r="VZG48" s="108" t="s">
        <v>63</v>
      </c>
      <c r="VZT48" s="108">
        <f t="shared" ref="VZT48:VZT49" si="489">SUM(VZH48:VZS48)</f>
        <v>0</v>
      </c>
      <c r="WAK48" s="108" t="s">
        <v>90</v>
      </c>
      <c r="WAM48" s="108" t="s">
        <v>63</v>
      </c>
      <c r="WAZ48" s="108">
        <f t="shared" ref="WAZ48:WAZ49" si="490">SUM(WAN48:WAY48)</f>
        <v>0</v>
      </c>
      <c r="WBQ48" s="108" t="s">
        <v>90</v>
      </c>
      <c r="WBS48" s="108" t="s">
        <v>63</v>
      </c>
      <c r="WCF48" s="108">
        <f t="shared" ref="WCF48:WCF49" si="491">SUM(WBT48:WCE48)</f>
        <v>0</v>
      </c>
      <c r="WCW48" s="108" t="s">
        <v>90</v>
      </c>
      <c r="WCY48" s="108" t="s">
        <v>63</v>
      </c>
      <c r="WDL48" s="108">
        <f t="shared" ref="WDL48:WDL49" si="492">SUM(WCZ48:WDK48)</f>
        <v>0</v>
      </c>
      <c r="WEC48" s="108" t="s">
        <v>90</v>
      </c>
      <c r="WEE48" s="108" t="s">
        <v>63</v>
      </c>
      <c r="WER48" s="108">
        <f t="shared" ref="WER48:WER49" si="493">SUM(WEF48:WEQ48)</f>
        <v>0</v>
      </c>
      <c r="WFI48" s="108" t="s">
        <v>90</v>
      </c>
      <c r="WFK48" s="108" t="s">
        <v>63</v>
      </c>
      <c r="WFX48" s="108">
        <f t="shared" ref="WFX48:WFX49" si="494">SUM(WFL48:WFW48)</f>
        <v>0</v>
      </c>
      <c r="WGO48" s="108" t="s">
        <v>90</v>
      </c>
      <c r="WGQ48" s="108" t="s">
        <v>63</v>
      </c>
      <c r="WHD48" s="108">
        <f t="shared" ref="WHD48:WHD49" si="495">SUM(WGR48:WHC48)</f>
        <v>0</v>
      </c>
      <c r="WHU48" s="108" t="s">
        <v>90</v>
      </c>
      <c r="WHW48" s="108" t="s">
        <v>63</v>
      </c>
      <c r="WIJ48" s="108">
        <f t="shared" ref="WIJ48:WIJ49" si="496">SUM(WHX48:WII48)</f>
        <v>0</v>
      </c>
      <c r="WJA48" s="108" t="s">
        <v>90</v>
      </c>
      <c r="WJC48" s="108" t="s">
        <v>63</v>
      </c>
      <c r="WJP48" s="108">
        <f t="shared" ref="WJP48:WJP49" si="497">SUM(WJD48:WJO48)</f>
        <v>0</v>
      </c>
      <c r="WKG48" s="108" t="s">
        <v>90</v>
      </c>
      <c r="WKI48" s="108" t="s">
        <v>63</v>
      </c>
      <c r="WKV48" s="108">
        <f t="shared" ref="WKV48:WKV49" si="498">SUM(WKJ48:WKU48)</f>
        <v>0</v>
      </c>
      <c r="WLM48" s="108" t="s">
        <v>90</v>
      </c>
      <c r="WLO48" s="108" t="s">
        <v>63</v>
      </c>
      <c r="WMB48" s="108">
        <f t="shared" ref="WMB48:WMB49" si="499">SUM(WLP48:WMA48)</f>
        <v>0</v>
      </c>
      <c r="WMS48" s="108" t="s">
        <v>90</v>
      </c>
      <c r="WMU48" s="108" t="s">
        <v>63</v>
      </c>
      <c r="WNH48" s="108">
        <f t="shared" ref="WNH48:WNH49" si="500">SUM(WMV48:WNG48)</f>
        <v>0</v>
      </c>
      <c r="WNY48" s="108" t="s">
        <v>90</v>
      </c>
      <c r="WOA48" s="108" t="s">
        <v>63</v>
      </c>
      <c r="WON48" s="108">
        <f t="shared" ref="WON48:WON49" si="501">SUM(WOB48:WOM48)</f>
        <v>0</v>
      </c>
      <c r="WPE48" s="108" t="s">
        <v>90</v>
      </c>
      <c r="WPG48" s="108" t="s">
        <v>63</v>
      </c>
      <c r="WPT48" s="108">
        <f t="shared" ref="WPT48:WPT49" si="502">SUM(WPH48:WPS48)</f>
        <v>0</v>
      </c>
      <c r="WQK48" s="108" t="s">
        <v>90</v>
      </c>
      <c r="WQM48" s="108" t="s">
        <v>63</v>
      </c>
      <c r="WQZ48" s="108">
        <f t="shared" ref="WQZ48:WQZ49" si="503">SUM(WQN48:WQY48)</f>
        <v>0</v>
      </c>
      <c r="WRQ48" s="108" t="s">
        <v>90</v>
      </c>
      <c r="WRS48" s="108" t="s">
        <v>63</v>
      </c>
      <c r="WSF48" s="108">
        <f t="shared" ref="WSF48:WSF49" si="504">SUM(WRT48:WSE48)</f>
        <v>0</v>
      </c>
      <c r="WSW48" s="108" t="s">
        <v>90</v>
      </c>
      <c r="WSY48" s="108" t="s">
        <v>63</v>
      </c>
      <c r="WTL48" s="108">
        <f t="shared" ref="WTL48:WTL49" si="505">SUM(WSZ48:WTK48)</f>
        <v>0</v>
      </c>
      <c r="WUC48" s="108" t="s">
        <v>90</v>
      </c>
      <c r="WUE48" s="108" t="s">
        <v>63</v>
      </c>
      <c r="WUR48" s="108">
        <f t="shared" ref="WUR48:WUR49" si="506">SUM(WUF48:WUQ48)</f>
        <v>0</v>
      </c>
      <c r="WVI48" s="108" t="s">
        <v>90</v>
      </c>
      <c r="WVK48" s="108" t="s">
        <v>63</v>
      </c>
      <c r="WVX48" s="108">
        <f t="shared" ref="WVX48:WVX49" si="507">SUM(WVL48:WVW48)</f>
        <v>0</v>
      </c>
      <c r="WWO48" s="108" t="s">
        <v>90</v>
      </c>
      <c r="WWQ48" s="108" t="s">
        <v>63</v>
      </c>
      <c r="WXD48" s="108">
        <f t="shared" ref="WXD48:WXD49" si="508">SUM(WWR48:WXC48)</f>
        <v>0</v>
      </c>
      <c r="WXU48" s="108" t="s">
        <v>90</v>
      </c>
      <c r="WXW48" s="108" t="s">
        <v>63</v>
      </c>
      <c r="WYJ48" s="108">
        <f t="shared" ref="WYJ48:WYJ49" si="509">SUM(WXX48:WYI48)</f>
        <v>0</v>
      </c>
      <c r="WZA48" s="108" t="s">
        <v>90</v>
      </c>
      <c r="WZC48" s="108" t="s">
        <v>63</v>
      </c>
      <c r="WZP48" s="108">
        <f t="shared" ref="WZP48:WZP49" si="510">SUM(WZD48:WZO48)</f>
        <v>0</v>
      </c>
      <c r="XAG48" s="108" t="s">
        <v>90</v>
      </c>
      <c r="XAI48" s="108" t="s">
        <v>63</v>
      </c>
      <c r="XAV48" s="108">
        <f t="shared" ref="XAV48:XAV49" si="511">SUM(XAJ48:XAU48)</f>
        <v>0</v>
      </c>
      <c r="XBM48" s="108" t="s">
        <v>90</v>
      </c>
      <c r="XBO48" s="108" t="s">
        <v>63</v>
      </c>
      <c r="XCB48" s="108">
        <f t="shared" ref="XCB48:XCB49" si="512">SUM(XBP48:XCA48)</f>
        <v>0</v>
      </c>
      <c r="XCS48" s="108" t="s">
        <v>90</v>
      </c>
      <c r="XCU48" s="108" t="s">
        <v>63</v>
      </c>
      <c r="XDH48" s="108">
        <f t="shared" ref="XDH48:XDH49" si="513">SUM(XCV48:XDG48)</f>
        <v>0</v>
      </c>
      <c r="XDY48" s="108" t="s">
        <v>90</v>
      </c>
      <c r="XEA48" s="108" t="s">
        <v>63</v>
      </c>
      <c r="XEN48" s="108">
        <f t="shared" ref="XEN48:XEN49" si="514">SUM(XEB48:XEM48)</f>
        <v>0</v>
      </c>
    </row>
    <row r="49" spans="1:1008 1025:2032 2049:3056 3073:4080 4097:5104 5121:6128 6145:7152 7169:8176 8193:9200 9217:10224 10241:11248 11265:12272 12289:13296 13313:14320 14337:15344 15361:16368" ht="200.25" customHeight="1" x14ac:dyDescent="0.25">
      <c r="A49" s="380"/>
      <c r="B49" s="381"/>
      <c r="C49" s="99" t="s">
        <v>64</v>
      </c>
      <c r="D49" s="100">
        <v>0</v>
      </c>
      <c r="E49" s="100">
        <v>0.1</v>
      </c>
      <c r="F49" s="100">
        <v>0.15</v>
      </c>
      <c r="G49" s="100">
        <v>0.15</v>
      </c>
      <c r="H49" s="100">
        <v>0.15</v>
      </c>
      <c r="I49" s="100">
        <v>0.05</v>
      </c>
      <c r="J49" s="100">
        <v>0.05</v>
      </c>
      <c r="K49" s="100">
        <v>0.05</v>
      </c>
      <c r="L49" s="104">
        <v>0.05</v>
      </c>
      <c r="M49" s="104">
        <v>0.05</v>
      </c>
      <c r="N49" s="104">
        <v>0.05</v>
      </c>
      <c r="O49" s="104">
        <v>0.15</v>
      </c>
      <c r="P49" s="101">
        <f t="shared" si="3"/>
        <v>1.0000000000000002</v>
      </c>
      <c r="Q49" s="387"/>
      <c r="R49" s="388"/>
      <c r="S49" s="388"/>
      <c r="T49" s="388"/>
      <c r="U49" s="388"/>
      <c r="V49" s="388"/>
      <c r="W49" s="388"/>
      <c r="X49" s="388"/>
      <c r="Y49" s="388"/>
      <c r="Z49" s="388"/>
      <c r="AA49" s="388"/>
      <c r="AB49" s="388"/>
      <c r="AC49" s="388"/>
      <c r="AD49" s="389"/>
      <c r="AE49" s="97"/>
      <c r="AI49" s="108" t="s">
        <v>64</v>
      </c>
      <c r="AV49" s="108">
        <f t="shared" si="4"/>
        <v>0</v>
      </c>
      <c r="BO49" s="108" t="s">
        <v>64</v>
      </c>
      <c r="CB49" s="108">
        <f t="shared" si="5"/>
        <v>0</v>
      </c>
      <c r="CU49" s="108" t="s">
        <v>64</v>
      </c>
      <c r="DH49" s="108">
        <f t="shared" si="6"/>
        <v>0</v>
      </c>
      <c r="EA49" s="108" t="s">
        <v>64</v>
      </c>
      <c r="EN49" s="108">
        <f t="shared" si="7"/>
        <v>0</v>
      </c>
      <c r="FG49" s="108" t="s">
        <v>64</v>
      </c>
      <c r="FT49" s="108">
        <f t="shared" si="8"/>
        <v>0</v>
      </c>
      <c r="GM49" s="108" t="s">
        <v>64</v>
      </c>
      <c r="GZ49" s="108">
        <f t="shared" si="9"/>
        <v>0</v>
      </c>
      <c r="HS49" s="108" t="s">
        <v>64</v>
      </c>
      <c r="IF49" s="108">
        <f t="shared" si="10"/>
        <v>0</v>
      </c>
      <c r="IY49" s="108" t="s">
        <v>64</v>
      </c>
      <c r="JL49" s="108">
        <f t="shared" si="11"/>
        <v>0</v>
      </c>
      <c r="KE49" s="108" t="s">
        <v>64</v>
      </c>
      <c r="KR49" s="108">
        <f t="shared" si="12"/>
        <v>0</v>
      </c>
      <c r="LK49" s="108" t="s">
        <v>64</v>
      </c>
      <c r="LX49" s="108">
        <f t="shared" si="13"/>
        <v>0</v>
      </c>
      <c r="MQ49" s="108" t="s">
        <v>64</v>
      </c>
      <c r="ND49" s="108">
        <f t="shared" si="14"/>
        <v>0</v>
      </c>
      <c r="NW49" s="108" t="s">
        <v>64</v>
      </c>
      <c r="OJ49" s="108">
        <f t="shared" si="15"/>
        <v>0</v>
      </c>
      <c r="PC49" s="108" t="s">
        <v>64</v>
      </c>
      <c r="PP49" s="108">
        <f t="shared" si="16"/>
        <v>0</v>
      </c>
      <c r="QI49" s="108" t="s">
        <v>64</v>
      </c>
      <c r="QV49" s="108">
        <f t="shared" si="17"/>
        <v>0</v>
      </c>
      <c r="RO49" s="108" t="s">
        <v>64</v>
      </c>
      <c r="SB49" s="108">
        <f t="shared" si="18"/>
        <v>0</v>
      </c>
      <c r="SU49" s="108" t="s">
        <v>64</v>
      </c>
      <c r="TH49" s="108">
        <f t="shared" si="19"/>
        <v>0</v>
      </c>
      <c r="UA49" s="108" t="s">
        <v>64</v>
      </c>
      <c r="UN49" s="108">
        <f t="shared" si="20"/>
        <v>0</v>
      </c>
      <c r="VG49" s="108" t="s">
        <v>64</v>
      </c>
      <c r="VT49" s="108">
        <f t="shared" si="21"/>
        <v>0</v>
      </c>
      <c r="WM49" s="108" t="s">
        <v>64</v>
      </c>
      <c r="WZ49" s="108">
        <f t="shared" si="22"/>
        <v>0</v>
      </c>
      <c r="XS49" s="108" t="s">
        <v>64</v>
      </c>
      <c r="YF49" s="108">
        <f t="shared" si="23"/>
        <v>0</v>
      </c>
      <c r="YY49" s="108" t="s">
        <v>64</v>
      </c>
      <c r="ZL49" s="108">
        <f t="shared" si="24"/>
        <v>0</v>
      </c>
      <c r="AAE49" s="108" t="s">
        <v>64</v>
      </c>
      <c r="AAR49" s="108">
        <f t="shared" si="25"/>
        <v>0</v>
      </c>
      <c r="ABK49" s="108" t="s">
        <v>64</v>
      </c>
      <c r="ABX49" s="108">
        <f t="shared" si="26"/>
        <v>0</v>
      </c>
      <c r="ACQ49" s="108" t="s">
        <v>64</v>
      </c>
      <c r="ADD49" s="108">
        <f t="shared" si="27"/>
        <v>0</v>
      </c>
      <c r="ADW49" s="108" t="s">
        <v>64</v>
      </c>
      <c r="AEJ49" s="108">
        <f t="shared" si="28"/>
        <v>0</v>
      </c>
      <c r="AFC49" s="108" t="s">
        <v>64</v>
      </c>
      <c r="AFP49" s="108">
        <f t="shared" si="29"/>
        <v>0</v>
      </c>
      <c r="AGI49" s="108" t="s">
        <v>64</v>
      </c>
      <c r="AGV49" s="108">
        <f t="shared" si="30"/>
        <v>0</v>
      </c>
      <c r="AHO49" s="108" t="s">
        <v>64</v>
      </c>
      <c r="AIB49" s="108">
        <f t="shared" si="31"/>
        <v>0</v>
      </c>
      <c r="AIU49" s="108" t="s">
        <v>64</v>
      </c>
      <c r="AJH49" s="108">
        <f t="shared" si="32"/>
        <v>0</v>
      </c>
      <c r="AKA49" s="108" t="s">
        <v>64</v>
      </c>
      <c r="AKN49" s="108">
        <f t="shared" si="33"/>
        <v>0</v>
      </c>
      <c r="ALG49" s="108" t="s">
        <v>64</v>
      </c>
      <c r="ALT49" s="108">
        <f t="shared" si="34"/>
        <v>0</v>
      </c>
      <c r="AMM49" s="108" t="s">
        <v>64</v>
      </c>
      <c r="AMZ49" s="108">
        <f t="shared" si="35"/>
        <v>0</v>
      </c>
      <c r="ANS49" s="108" t="s">
        <v>64</v>
      </c>
      <c r="AOF49" s="108">
        <f t="shared" si="36"/>
        <v>0</v>
      </c>
      <c r="AOY49" s="108" t="s">
        <v>64</v>
      </c>
      <c r="APL49" s="108">
        <f t="shared" si="37"/>
        <v>0</v>
      </c>
      <c r="AQE49" s="108" t="s">
        <v>64</v>
      </c>
      <c r="AQR49" s="108">
        <f t="shared" si="38"/>
        <v>0</v>
      </c>
      <c r="ARK49" s="108" t="s">
        <v>64</v>
      </c>
      <c r="ARX49" s="108">
        <f t="shared" si="39"/>
        <v>0</v>
      </c>
      <c r="ASQ49" s="108" t="s">
        <v>64</v>
      </c>
      <c r="ATD49" s="108">
        <f t="shared" si="40"/>
        <v>0</v>
      </c>
      <c r="ATW49" s="108" t="s">
        <v>64</v>
      </c>
      <c r="AUJ49" s="108">
        <f t="shared" si="41"/>
        <v>0</v>
      </c>
      <c r="AVC49" s="108" t="s">
        <v>64</v>
      </c>
      <c r="AVP49" s="108">
        <f t="shared" si="42"/>
        <v>0</v>
      </c>
      <c r="AWI49" s="108" t="s">
        <v>64</v>
      </c>
      <c r="AWV49" s="108">
        <f t="shared" si="43"/>
        <v>0</v>
      </c>
      <c r="AXO49" s="108" t="s">
        <v>64</v>
      </c>
      <c r="AYB49" s="108">
        <f t="shared" si="44"/>
        <v>0</v>
      </c>
      <c r="AYU49" s="108" t="s">
        <v>64</v>
      </c>
      <c r="AZH49" s="108">
        <f t="shared" si="45"/>
        <v>0</v>
      </c>
      <c r="BAA49" s="108" t="s">
        <v>64</v>
      </c>
      <c r="BAN49" s="108">
        <f t="shared" si="46"/>
        <v>0</v>
      </c>
      <c r="BBG49" s="108" t="s">
        <v>64</v>
      </c>
      <c r="BBT49" s="108">
        <f t="shared" si="47"/>
        <v>0</v>
      </c>
      <c r="BCM49" s="108" t="s">
        <v>64</v>
      </c>
      <c r="BCZ49" s="108">
        <f t="shared" si="48"/>
        <v>0</v>
      </c>
      <c r="BDS49" s="108" t="s">
        <v>64</v>
      </c>
      <c r="BEF49" s="108">
        <f t="shared" si="49"/>
        <v>0</v>
      </c>
      <c r="BEY49" s="108" t="s">
        <v>64</v>
      </c>
      <c r="BFL49" s="108">
        <f t="shared" si="50"/>
        <v>0</v>
      </c>
      <c r="BGE49" s="108" t="s">
        <v>64</v>
      </c>
      <c r="BGR49" s="108">
        <f t="shared" si="51"/>
        <v>0</v>
      </c>
      <c r="BHK49" s="108" t="s">
        <v>64</v>
      </c>
      <c r="BHX49" s="108">
        <f t="shared" si="52"/>
        <v>0</v>
      </c>
      <c r="BIQ49" s="108" t="s">
        <v>64</v>
      </c>
      <c r="BJD49" s="108">
        <f t="shared" si="53"/>
        <v>0</v>
      </c>
      <c r="BJW49" s="108" t="s">
        <v>64</v>
      </c>
      <c r="BKJ49" s="108">
        <f t="shared" si="54"/>
        <v>0</v>
      </c>
      <c r="BLC49" s="108" t="s">
        <v>64</v>
      </c>
      <c r="BLP49" s="108">
        <f t="shared" si="55"/>
        <v>0</v>
      </c>
      <c r="BMI49" s="108" t="s">
        <v>64</v>
      </c>
      <c r="BMV49" s="108">
        <f t="shared" si="56"/>
        <v>0</v>
      </c>
      <c r="BNO49" s="108" t="s">
        <v>64</v>
      </c>
      <c r="BOB49" s="108">
        <f t="shared" si="57"/>
        <v>0</v>
      </c>
      <c r="BOU49" s="108" t="s">
        <v>64</v>
      </c>
      <c r="BPH49" s="108">
        <f t="shared" si="58"/>
        <v>0</v>
      </c>
      <c r="BQA49" s="108" t="s">
        <v>64</v>
      </c>
      <c r="BQN49" s="108">
        <f t="shared" si="59"/>
        <v>0</v>
      </c>
      <c r="BRG49" s="108" t="s">
        <v>64</v>
      </c>
      <c r="BRT49" s="108">
        <f t="shared" si="60"/>
        <v>0</v>
      </c>
      <c r="BSM49" s="108" t="s">
        <v>64</v>
      </c>
      <c r="BSZ49" s="108">
        <f t="shared" si="61"/>
        <v>0</v>
      </c>
      <c r="BTS49" s="108" t="s">
        <v>64</v>
      </c>
      <c r="BUF49" s="108">
        <f t="shared" si="62"/>
        <v>0</v>
      </c>
      <c r="BUY49" s="108" t="s">
        <v>64</v>
      </c>
      <c r="BVL49" s="108">
        <f t="shared" si="63"/>
        <v>0</v>
      </c>
      <c r="BWE49" s="108" t="s">
        <v>64</v>
      </c>
      <c r="BWR49" s="108">
        <f t="shared" si="64"/>
        <v>0</v>
      </c>
      <c r="BXK49" s="108" t="s">
        <v>64</v>
      </c>
      <c r="BXX49" s="108">
        <f t="shared" si="65"/>
        <v>0</v>
      </c>
      <c r="BYQ49" s="108" t="s">
        <v>64</v>
      </c>
      <c r="BZD49" s="108">
        <f t="shared" si="66"/>
        <v>0</v>
      </c>
      <c r="BZW49" s="108" t="s">
        <v>64</v>
      </c>
      <c r="CAJ49" s="108">
        <f t="shared" si="67"/>
        <v>0</v>
      </c>
      <c r="CBC49" s="108" t="s">
        <v>64</v>
      </c>
      <c r="CBP49" s="108">
        <f t="shared" si="68"/>
        <v>0</v>
      </c>
      <c r="CCI49" s="108" t="s">
        <v>64</v>
      </c>
      <c r="CCV49" s="108">
        <f t="shared" si="69"/>
        <v>0</v>
      </c>
      <c r="CDO49" s="108" t="s">
        <v>64</v>
      </c>
      <c r="CEB49" s="108">
        <f t="shared" si="70"/>
        <v>0</v>
      </c>
      <c r="CEU49" s="108" t="s">
        <v>64</v>
      </c>
      <c r="CFH49" s="108">
        <f t="shared" si="71"/>
        <v>0</v>
      </c>
      <c r="CGA49" s="108" t="s">
        <v>64</v>
      </c>
      <c r="CGN49" s="108">
        <f t="shared" si="72"/>
        <v>0</v>
      </c>
      <c r="CHG49" s="108" t="s">
        <v>64</v>
      </c>
      <c r="CHT49" s="108">
        <f t="shared" si="73"/>
        <v>0</v>
      </c>
      <c r="CIM49" s="108" t="s">
        <v>64</v>
      </c>
      <c r="CIZ49" s="108">
        <f t="shared" si="74"/>
        <v>0</v>
      </c>
      <c r="CJS49" s="108" t="s">
        <v>64</v>
      </c>
      <c r="CKF49" s="108">
        <f t="shared" si="75"/>
        <v>0</v>
      </c>
      <c r="CKY49" s="108" t="s">
        <v>64</v>
      </c>
      <c r="CLL49" s="108">
        <f t="shared" si="76"/>
        <v>0</v>
      </c>
      <c r="CME49" s="108" t="s">
        <v>64</v>
      </c>
      <c r="CMR49" s="108">
        <f t="shared" si="77"/>
        <v>0</v>
      </c>
      <c r="CNK49" s="108" t="s">
        <v>64</v>
      </c>
      <c r="CNX49" s="108">
        <f t="shared" si="78"/>
        <v>0</v>
      </c>
      <c r="COQ49" s="108" t="s">
        <v>64</v>
      </c>
      <c r="CPD49" s="108">
        <f t="shared" si="79"/>
        <v>0</v>
      </c>
      <c r="CPW49" s="108" t="s">
        <v>64</v>
      </c>
      <c r="CQJ49" s="108">
        <f t="shared" si="80"/>
        <v>0</v>
      </c>
      <c r="CRC49" s="108" t="s">
        <v>64</v>
      </c>
      <c r="CRP49" s="108">
        <f t="shared" si="81"/>
        <v>0</v>
      </c>
      <c r="CSI49" s="108" t="s">
        <v>64</v>
      </c>
      <c r="CSV49" s="108">
        <f t="shared" si="82"/>
        <v>0</v>
      </c>
      <c r="CTO49" s="108" t="s">
        <v>64</v>
      </c>
      <c r="CUB49" s="108">
        <f t="shared" si="83"/>
        <v>0</v>
      </c>
      <c r="CUU49" s="108" t="s">
        <v>64</v>
      </c>
      <c r="CVH49" s="108">
        <f t="shared" si="84"/>
        <v>0</v>
      </c>
      <c r="CWA49" s="108" t="s">
        <v>64</v>
      </c>
      <c r="CWN49" s="108">
        <f t="shared" si="85"/>
        <v>0</v>
      </c>
      <c r="CXG49" s="108" t="s">
        <v>64</v>
      </c>
      <c r="CXT49" s="108">
        <f t="shared" si="86"/>
        <v>0</v>
      </c>
      <c r="CYM49" s="108" t="s">
        <v>64</v>
      </c>
      <c r="CYZ49" s="108">
        <f t="shared" si="87"/>
        <v>0</v>
      </c>
      <c r="CZS49" s="108" t="s">
        <v>64</v>
      </c>
      <c r="DAF49" s="108">
        <f t="shared" si="88"/>
        <v>0</v>
      </c>
      <c r="DAY49" s="108" t="s">
        <v>64</v>
      </c>
      <c r="DBL49" s="108">
        <f t="shared" si="89"/>
        <v>0</v>
      </c>
      <c r="DCE49" s="108" t="s">
        <v>64</v>
      </c>
      <c r="DCR49" s="108">
        <f t="shared" si="90"/>
        <v>0</v>
      </c>
      <c r="DDK49" s="108" t="s">
        <v>64</v>
      </c>
      <c r="DDX49" s="108">
        <f t="shared" si="91"/>
        <v>0</v>
      </c>
      <c r="DEQ49" s="108" t="s">
        <v>64</v>
      </c>
      <c r="DFD49" s="108">
        <f t="shared" si="92"/>
        <v>0</v>
      </c>
      <c r="DFW49" s="108" t="s">
        <v>64</v>
      </c>
      <c r="DGJ49" s="108">
        <f t="shared" si="93"/>
        <v>0</v>
      </c>
      <c r="DHC49" s="108" t="s">
        <v>64</v>
      </c>
      <c r="DHP49" s="108">
        <f t="shared" si="94"/>
        <v>0</v>
      </c>
      <c r="DII49" s="108" t="s">
        <v>64</v>
      </c>
      <c r="DIV49" s="108">
        <f t="shared" si="95"/>
        <v>0</v>
      </c>
      <c r="DJO49" s="108" t="s">
        <v>64</v>
      </c>
      <c r="DKB49" s="108">
        <f t="shared" si="96"/>
        <v>0</v>
      </c>
      <c r="DKU49" s="108" t="s">
        <v>64</v>
      </c>
      <c r="DLH49" s="108">
        <f t="shared" si="97"/>
        <v>0</v>
      </c>
      <c r="DMA49" s="108" t="s">
        <v>64</v>
      </c>
      <c r="DMN49" s="108">
        <f t="shared" si="98"/>
        <v>0</v>
      </c>
      <c r="DNG49" s="108" t="s">
        <v>64</v>
      </c>
      <c r="DNT49" s="108">
        <f t="shared" si="99"/>
        <v>0</v>
      </c>
      <c r="DOM49" s="108" t="s">
        <v>64</v>
      </c>
      <c r="DOZ49" s="108">
        <f t="shared" si="100"/>
        <v>0</v>
      </c>
      <c r="DPS49" s="108" t="s">
        <v>64</v>
      </c>
      <c r="DQF49" s="108">
        <f t="shared" si="101"/>
        <v>0</v>
      </c>
      <c r="DQY49" s="108" t="s">
        <v>64</v>
      </c>
      <c r="DRL49" s="108">
        <f t="shared" si="102"/>
        <v>0</v>
      </c>
      <c r="DSE49" s="108" t="s">
        <v>64</v>
      </c>
      <c r="DSR49" s="108">
        <f t="shared" si="103"/>
        <v>0</v>
      </c>
      <c r="DTK49" s="108" t="s">
        <v>64</v>
      </c>
      <c r="DTX49" s="108">
        <f t="shared" si="104"/>
        <v>0</v>
      </c>
      <c r="DUQ49" s="108" t="s">
        <v>64</v>
      </c>
      <c r="DVD49" s="108">
        <f t="shared" si="105"/>
        <v>0</v>
      </c>
      <c r="DVW49" s="108" t="s">
        <v>64</v>
      </c>
      <c r="DWJ49" s="108">
        <f t="shared" si="106"/>
        <v>0</v>
      </c>
      <c r="DXC49" s="108" t="s">
        <v>64</v>
      </c>
      <c r="DXP49" s="108">
        <f t="shared" si="107"/>
        <v>0</v>
      </c>
      <c r="DYI49" s="108" t="s">
        <v>64</v>
      </c>
      <c r="DYV49" s="108">
        <f t="shared" si="108"/>
        <v>0</v>
      </c>
      <c r="DZO49" s="108" t="s">
        <v>64</v>
      </c>
      <c r="EAB49" s="108">
        <f t="shared" si="109"/>
        <v>0</v>
      </c>
      <c r="EAU49" s="108" t="s">
        <v>64</v>
      </c>
      <c r="EBH49" s="108">
        <f t="shared" si="110"/>
        <v>0</v>
      </c>
      <c r="ECA49" s="108" t="s">
        <v>64</v>
      </c>
      <c r="ECN49" s="108">
        <f t="shared" si="111"/>
        <v>0</v>
      </c>
      <c r="EDG49" s="108" t="s">
        <v>64</v>
      </c>
      <c r="EDT49" s="108">
        <f t="shared" si="112"/>
        <v>0</v>
      </c>
      <c r="EEM49" s="108" t="s">
        <v>64</v>
      </c>
      <c r="EEZ49" s="108">
        <f t="shared" si="113"/>
        <v>0</v>
      </c>
      <c r="EFS49" s="108" t="s">
        <v>64</v>
      </c>
      <c r="EGF49" s="108">
        <f t="shared" si="114"/>
        <v>0</v>
      </c>
      <c r="EGY49" s="108" t="s">
        <v>64</v>
      </c>
      <c r="EHL49" s="108">
        <f t="shared" si="115"/>
        <v>0</v>
      </c>
      <c r="EIE49" s="108" t="s">
        <v>64</v>
      </c>
      <c r="EIR49" s="108">
        <f t="shared" si="116"/>
        <v>0</v>
      </c>
      <c r="EJK49" s="108" t="s">
        <v>64</v>
      </c>
      <c r="EJX49" s="108">
        <f t="shared" si="117"/>
        <v>0</v>
      </c>
      <c r="EKQ49" s="108" t="s">
        <v>64</v>
      </c>
      <c r="ELD49" s="108">
        <f t="shared" si="118"/>
        <v>0</v>
      </c>
      <c r="ELW49" s="108" t="s">
        <v>64</v>
      </c>
      <c r="EMJ49" s="108">
        <f t="shared" si="119"/>
        <v>0</v>
      </c>
      <c r="ENC49" s="108" t="s">
        <v>64</v>
      </c>
      <c r="ENP49" s="108">
        <f t="shared" si="120"/>
        <v>0</v>
      </c>
      <c r="EOI49" s="108" t="s">
        <v>64</v>
      </c>
      <c r="EOV49" s="108">
        <f t="shared" si="121"/>
        <v>0</v>
      </c>
      <c r="EPO49" s="108" t="s">
        <v>64</v>
      </c>
      <c r="EQB49" s="108">
        <f t="shared" si="122"/>
        <v>0</v>
      </c>
      <c r="EQU49" s="108" t="s">
        <v>64</v>
      </c>
      <c r="ERH49" s="108">
        <f t="shared" si="123"/>
        <v>0</v>
      </c>
      <c r="ESA49" s="108" t="s">
        <v>64</v>
      </c>
      <c r="ESN49" s="108">
        <f t="shared" si="124"/>
        <v>0</v>
      </c>
      <c r="ETG49" s="108" t="s">
        <v>64</v>
      </c>
      <c r="ETT49" s="108">
        <f t="shared" si="125"/>
        <v>0</v>
      </c>
      <c r="EUM49" s="108" t="s">
        <v>64</v>
      </c>
      <c r="EUZ49" s="108">
        <f t="shared" si="126"/>
        <v>0</v>
      </c>
      <c r="EVS49" s="108" t="s">
        <v>64</v>
      </c>
      <c r="EWF49" s="108">
        <f t="shared" si="127"/>
        <v>0</v>
      </c>
      <c r="EWY49" s="108" t="s">
        <v>64</v>
      </c>
      <c r="EXL49" s="108">
        <f t="shared" si="128"/>
        <v>0</v>
      </c>
      <c r="EYE49" s="108" t="s">
        <v>64</v>
      </c>
      <c r="EYR49" s="108">
        <f t="shared" si="129"/>
        <v>0</v>
      </c>
      <c r="EZK49" s="108" t="s">
        <v>64</v>
      </c>
      <c r="EZX49" s="108">
        <f t="shared" si="130"/>
        <v>0</v>
      </c>
      <c r="FAQ49" s="108" t="s">
        <v>64</v>
      </c>
      <c r="FBD49" s="108">
        <f t="shared" si="131"/>
        <v>0</v>
      </c>
      <c r="FBW49" s="108" t="s">
        <v>64</v>
      </c>
      <c r="FCJ49" s="108">
        <f t="shared" si="132"/>
        <v>0</v>
      </c>
      <c r="FDC49" s="108" t="s">
        <v>64</v>
      </c>
      <c r="FDP49" s="108">
        <f t="shared" si="133"/>
        <v>0</v>
      </c>
      <c r="FEI49" s="108" t="s">
        <v>64</v>
      </c>
      <c r="FEV49" s="108">
        <f t="shared" si="134"/>
        <v>0</v>
      </c>
      <c r="FFO49" s="108" t="s">
        <v>64</v>
      </c>
      <c r="FGB49" s="108">
        <f t="shared" si="135"/>
        <v>0</v>
      </c>
      <c r="FGU49" s="108" t="s">
        <v>64</v>
      </c>
      <c r="FHH49" s="108">
        <f t="shared" si="136"/>
        <v>0</v>
      </c>
      <c r="FIA49" s="108" t="s">
        <v>64</v>
      </c>
      <c r="FIN49" s="108">
        <f t="shared" si="137"/>
        <v>0</v>
      </c>
      <c r="FJG49" s="108" t="s">
        <v>64</v>
      </c>
      <c r="FJT49" s="108">
        <f t="shared" si="138"/>
        <v>0</v>
      </c>
      <c r="FKM49" s="108" t="s">
        <v>64</v>
      </c>
      <c r="FKZ49" s="108">
        <f t="shared" si="139"/>
        <v>0</v>
      </c>
      <c r="FLS49" s="108" t="s">
        <v>64</v>
      </c>
      <c r="FMF49" s="108">
        <f t="shared" si="140"/>
        <v>0</v>
      </c>
      <c r="FMY49" s="108" t="s">
        <v>64</v>
      </c>
      <c r="FNL49" s="108">
        <f t="shared" si="141"/>
        <v>0</v>
      </c>
      <c r="FOE49" s="108" t="s">
        <v>64</v>
      </c>
      <c r="FOR49" s="108">
        <f t="shared" si="142"/>
        <v>0</v>
      </c>
      <c r="FPK49" s="108" t="s">
        <v>64</v>
      </c>
      <c r="FPX49" s="108">
        <f t="shared" si="143"/>
        <v>0</v>
      </c>
      <c r="FQQ49" s="108" t="s">
        <v>64</v>
      </c>
      <c r="FRD49" s="108">
        <f t="shared" si="144"/>
        <v>0</v>
      </c>
      <c r="FRW49" s="108" t="s">
        <v>64</v>
      </c>
      <c r="FSJ49" s="108">
        <f t="shared" si="145"/>
        <v>0</v>
      </c>
      <c r="FTC49" s="108" t="s">
        <v>64</v>
      </c>
      <c r="FTP49" s="108">
        <f t="shared" si="146"/>
        <v>0</v>
      </c>
      <c r="FUI49" s="108" t="s">
        <v>64</v>
      </c>
      <c r="FUV49" s="108">
        <f t="shared" si="147"/>
        <v>0</v>
      </c>
      <c r="FVO49" s="108" t="s">
        <v>64</v>
      </c>
      <c r="FWB49" s="108">
        <f t="shared" si="148"/>
        <v>0</v>
      </c>
      <c r="FWU49" s="108" t="s">
        <v>64</v>
      </c>
      <c r="FXH49" s="108">
        <f t="shared" si="149"/>
        <v>0</v>
      </c>
      <c r="FYA49" s="108" t="s">
        <v>64</v>
      </c>
      <c r="FYN49" s="108">
        <f t="shared" si="150"/>
        <v>0</v>
      </c>
      <c r="FZG49" s="108" t="s">
        <v>64</v>
      </c>
      <c r="FZT49" s="108">
        <f t="shared" si="151"/>
        <v>0</v>
      </c>
      <c r="GAM49" s="108" t="s">
        <v>64</v>
      </c>
      <c r="GAZ49" s="108">
        <f t="shared" si="152"/>
        <v>0</v>
      </c>
      <c r="GBS49" s="108" t="s">
        <v>64</v>
      </c>
      <c r="GCF49" s="108">
        <f t="shared" si="153"/>
        <v>0</v>
      </c>
      <c r="GCY49" s="108" t="s">
        <v>64</v>
      </c>
      <c r="GDL49" s="108">
        <f t="shared" si="154"/>
        <v>0</v>
      </c>
      <c r="GEE49" s="108" t="s">
        <v>64</v>
      </c>
      <c r="GER49" s="108">
        <f t="shared" si="155"/>
        <v>0</v>
      </c>
      <c r="GFK49" s="108" t="s">
        <v>64</v>
      </c>
      <c r="GFX49" s="108">
        <f t="shared" si="156"/>
        <v>0</v>
      </c>
      <c r="GGQ49" s="108" t="s">
        <v>64</v>
      </c>
      <c r="GHD49" s="108">
        <f t="shared" si="157"/>
        <v>0</v>
      </c>
      <c r="GHW49" s="108" t="s">
        <v>64</v>
      </c>
      <c r="GIJ49" s="108">
        <f t="shared" si="158"/>
        <v>0</v>
      </c>
      <c r="GJC49" s="108" t="s">
        <v>64</v>
      </c>
      <c r="GJP49" s="108">
        <f t="shared" si="159"/>
        <v>0</v>
      </c>
      <c r="GKI49" s="108" t="s">
        <v>64</v>
      </c>
      <c r="GKV49" s="108">
        <f t="shared" si="160"/>
        <v>0</v>
      </c>
      <c r="GLO49" s="108" t="s">
        <v>64</v>
      </c>
      <c r="GMB49" s="108">
        <f t="shared" si="161"/>
        <v>0</v>
      </c>
      <c r="GMU49" s="108" t="s">
        <v>64</v>
      </c>
      <c r="GNH49" s="108">
        <f t="shared" si="162"/>
        <v>0</v>
      </c>
      <c r="GOA49" s="108" t="s">
        <v>64</v>
      </c>
      <c r="GON49" s="108">
        <f t="shared" si="163"/>
        <v>0</v>
      </c>
      <c r="GPG49" s="108" t="s">
        <v>64</v>
      </c>
      <c r="GPT49" s="108">
        <f t="shared" si="164"/>
        <v>0</v>
      </c>
      <c r="GQM49" s="108" t="s">
        <v>64</v>
      </c>
      <c r="GQZ49" s="108">
        <f t="shared" si="165"/>
        <v>0</v>
      </c>
      <c r="GRS49" s="108" t="s">
        <v>64</v>
      </c>
      <c r="GSF49" s="108">
        <f t="shared" si="166"/>
        <v>0</v>
      </c>
      <c r="GSY49" s="108" t="s">
        <v>64</v>
      </c>
      <c r="GTL49" s="108">
        <f t="shared" si="167"/>
        <v>0</v>
      </c>
      <c r="GUE49" s="108" t="s">
        <v>64</v>
      </c>
      <c r="GUR49" s="108">
        <f t="shared" si="168"/>
        <v>0</v>
      </c>
      <c r="GVK49" s="108" t="s">
        <v>64</v>
      </c>
      <c r="GVX49" s="108">
        <f t="shared" si="169"/>
        <v>0</v>
      </c>
      <c r="GWQ49" s="108" t="s">
        <v>64</v>
      </c>
      <c r="GXD49" s="108">
        <f t="shared" si="170"/>
        <v>0</v>
      </c>
      <c r="GXW49" s="108" t="s">
        <v>64</v>
      </c>
      <c r="GYJ49" s="108">
        <f t="shared" si="171"/>
        <v>0</v>
      </c>
      <c r="GZC49" s="108" t="s">
        <v>64</v>
      </c>
      <c r="GZP49" s="108">
        <f t="shared" si="172"/>
        <v>0</v>
      </c>
      <c r="HAI49" s="108" t="s">
        <v>64</v>
      </c>
      <c r="HAV49" s="108">
        <f t="shared" si="173"/>
        <v>0</v>
      </c>
      <c r="HBO49" s="108" t="s">
        <v>64</v>
      </c>
      <c r="HCB49" s="108">
        <f t="shared" si="174"/>
        <v>0</v>
      </c>
      <c r="HCU49" s="108" t="s">
        <v>64</v>
      </c>
      <c r="HDH49" s="108">
        <f t="shared" si="175"/>
        <v>0</v>
      </c>
      <c r="HEA49" s="108" t="s">
        <v>64</v>
      </c>
      <c r="HEN49" s="108">
        <f t="shared" si="176"/>
        <v>0</v>
      </c>
      <c r="HFG49" s="108" t="s">
        <v>64</v>
      </c>
      <c r="HFT49" s="108">
        <f t="shared" si="177"/>
        <v>0</v>
      </c>
      <c r="HGM49" s="108" t="s">
        <v>64</v>
      </c>
      <c r="HGZ49" s="108">
        <f t="shared" si="178"/>
        <v>0</v>
      </c>
      <c r="HHS49" s="108" t="s">
        <v>64</v>
      </c>
      <c r="HIF49" s="108">
        <f t="shared" si="179"/>
        <v>0</v>
      </c>
      <c r="HIY49" s="108" t="s">
        <v>64</v>
      </c>
      <c r="HJL49" s="108">
        <f t="shared" si="180"/>
        <v>0</v>
      </c>
      <c r="HKE49" s="108" t="s">
        <v>64</v>
      </c>
      <c r="HKR49" s="108">
        <f t="shared" si="181"/>
        <v>0</v>
      </c>
      <c r="HLK49" s="108" t="s">
        <v>64</v>
      </c>
      <c r="HLX49" s="108">
        <f t="shared" si="182"/>
        <v>0</v>
      </c>
      <c r="HMQ49" s="108" t="s">
        <v>64</v>
      </c>
      <c r="HND49" s="108">
        <f t="shared" si="183"/>
        <v>0</v>
      </c>
      <c r="HNW49" s="108" t="s">
        <v>64</v>
      </c>
      <c r="HOJ49" s="108">
        <f t="shared" si="184"/>
        <v>0</v>
      </c>
      <c r="HPC49" s="108" t="s">
        <v>64</v>
      </c>
      <c r="HPP49" s="108">
        <f t="shared" si="185"/>
        <v>0</v>
      </c>
      <c r="HQI49" s="108" t="s">
        <v>64</v>
      </c>
      <c r="HQV49" s="108">
        <f t="shared" si="186"/>
        <v>0</v>
      </c>
      <c r="HRO49" s="108" t="s">
        <v>64</v>
      </c>
      <c r="HSB49" s="108">
        <f t="shared" si="187"/>
        <v>0</v>
      </c>
      <c r="HSU49" s="108" t="s">
        <v>64</v>
      </c>
      <c r="HTH49" s="108">
        <f t="shared" si="188"/>
        <v>0</v>
      </c>
      <c r="HUA49" s="108" t="s">
        <v>64</v>
      </c>
      <c r="HUN49" s="108">
        <f t="shared" si="189"/>
        <v>0</v>
      </c>
      <c r="HVG49" s="108" t="s">
        <v>64</v>
      </c>
      <c r="HVT49" s="108">
        <f t="shared" si="190"/>
        <v>0</v>
      </c>
      <c r="HWM49" s="108" t="s">
        <v>64</v>
      </c>
      <c r="HWZ49" s="108">
        <f t="shared" si="191"/>
        <v>0</v>
      </c>
      <c r="HXS49" s="108" t="s">
        <v>64</v>
      </c>
      <c r="HYF49" s="108">
        <f t="shared" si="192"/>
        <v>0</v>
      </c>
      <c r="HYY49" s="108" t="s">
        <v>64</v>
      </c>
      <c r="HZL49" s="108">
        <f t="shared" si="193"/>
        <v>0</v>
      </c>
      <c r="IAE49" s="108" t="s">
        <v>64</v>
      </c>
      <c r="IAR49" s="108">
        <f t="shared" si="194"/>
        <v>0</v>
      </c>
      <c r="IBK49" s="108" t="s">
        <v>64</v>
      </c>
      <c r="IBX49" s="108">
        <f t="shared" si="195"/>
        <v>0</v>
      </c>
      <c r="ICQ49" s="108" t="s">
        <v>64</v>
      </c>
      <c r="IDD49" s="108">
        <f t="shared" si="196"/>
        <v>0</v>
      </c>
      <c r="IDW49" s="108" t="s">
        <v>64</v>
      </c>
      <c r="IEJ49" s="108">
        <f t="shared" si="197"/>
        <v>0</v>
      </c>
      <c r="IFC49" s="108" t="s">
        <v>64</v>
      </c>
      <c r="IFP49" s="108">
        <f t="shared" si="198"/>
        <v>0</v>
      </c>
      <c r="IGI49" s="108" t="s">
        <v>64</v>
      </c>
      <c r="IGV49" s="108">
        <f t="shared" si="199"/>
        <v>0</v>
      </c>
      <c r="IHO49" s="108" t="s">
        <v>64</v>
      </c>
      <c r="IIB49" s="108">
        <f t="shared" si="200"/>
        <v>0</v>
      </c>
      <c r="IIU49" s="108" t="s">
        <v>64</v>
      </c>
      <c r="IJH49" s="108">
        <f t="shared" si="201"/>
        <v>0</v>
      </c>
      <c r="IKA49" s="108" t="s">
        <v>64</v>
      </c>
      <c r="IKN49" s="108">
        <f t="shared" si="202"/>
        <v>0</v>
      </c>
      <c r="ILG49" s="108" t="s">
        <v>64</v>
      </c>
      <c r="ILT49" s="108">
        <f t="shared" si="203"/>
        <v>0</v>
      </c>
      <c r="IMM49" s="108" t="s">
        <v>64</v>
      </c>
      <c r="IMZ49" s="108">
        <f t="shared" si="204"/>
        <v>0</v>
      </c>
      <c r="INS49" s="108" t="s">
        <v>64</v>
      </c>
      <c r="IOF49" s="108">
        <f t="shared" si="205"/>
        <v>0</v>
      </c>
      <c r="IOY49" s="108" t="s">
        <v>64</v>
      </c>
      <c r="IPL49" s="108">
        <f t="shared" si="206"/>
        <v>0</v>
      </c>
      <c r="IQE49" s="108" t="s">
        <v>64</v>
      </c>
      <c r="IQR49" s="108">
        <f t="shared" si="207"/>
        <v>0</v>
      </c>
      <c r="IRK49" s="108" t="s">
        <v>64</v>
      </c>
      <c r="IRX49" s="108">
        <f t="shared" si="208"/>
        <v>0</v>
      </c>
      <c r="ISQ49" s="108" t="s">
        <v>64</v>
      </c>
      <c r="ITD49" s="108">
        <f t="shared" si="209"/>
        <v>0</v>
      </c>
      <c r="ITW49" s="108" t="s">
        <v>64</v>
      </c>
      <c r="IUJ49" s="108">
        <f t="shared" si="210"/>
        <v>0</v>
      </c>
      <c r="IVC49" s="108" t="s">
        <v>64</v>
      </c>
      <c r="IVP49" s="108">
        <f t="shared" si="211"/>
        <v>0</v>
      </c>
      <c r="IWI49" s="108" t="s">
        <v>64</v>
      </c>
      <c r="IWV49" s="108">
        <f t="shared" si="212"/>
        <v>0</v>
      </c>
      <c r="IXO49" s="108" t="s">
        <v>64</v>
      </c>
      <c r="IYB49" s="108">
        <f t="shared" si="213"/>
        <v>0</v>
      </c>
      <c r="IYU49" s="108" t="s">
        <v>64</v>
      </c>
      <c r="IZH49" s="108">
        <f t="shared" si="214"/>
        <v>0</v>
      </c>
      <c r="JAA49" s="108" t="s">
        <v>64</v>
      </c>
      <c r="JAN49" s="108">
        <f t="shared" si="215"/>
        <v>0</v>
      </c>
      <c r="JBG49" s="108" t="s">
        <v>64</v>
      </c>
      <c r="JBT49" s="108">
        <f t="shared" si="216"/>
        <v>0</v>
      </c>
      <c r="JCM49" s="108" t="s">
        <v>64</v>
      </c>
      <c r="JCZ49" s="108">
        <f t="shared" si="217"/>
        <v>0</v>
      </c>
      <c r="JDS49" s="108" t="s">
        <v>64</v>
      </c>
      <c r="JEF49" s="108">
        <f t="shared" si="218"/>
        <v>0</v>
      </c>
      <c r="JEY49" s="108" t="s">
        <v>64</v>
      </c>
      <c r="JFL49" s="108">
        <f t="shared" si="219"/>
        <v>0</v>
      </c>
      <c r="JGE49" s="108" t="s">
        <v>64</v>
      </c>
      <c r="JGR49" s="108">
        <f t="shared" si="220"/>
        <v>0</v>
      </c>
      <c r="JHK49" s="108" t="s">
        <v>64</v>
      </c>
      <c r="JHX49" s="108">
        <f t="shared" si="221"/>
        <v>0</v>
      </c>
      <c r="JIQ49" s="108" t="s">
        <v>64</v>
      </c>
      <c r="JJD49" s="108">
        <f t="shared" si="222"/>
        <v>0</v>
      </c>
      <c r="JJW49" s="108" t="s">
        <v>64</v>
      </c>
      <c r="JKJ49" s="108">
        <f t="shared" si="223"/>
        <v>0</v>
      </c>
      <c r="JLC49" s="108" t="s">
        <v>64</v>
      </c>
      <c r="JLP49" s="108">
        <f t="shared" si="224"/>
        <v>0</v>
      </c>
      <c r="JMI49" s="108" t="s">
        <v>64</v>
      </c>
      <c r="JMV49" s="108">
        <f t="shared" si="225"/>
        <v>0</v>
      </c>
      <c r="JNO49" s="108" t="s">
        <v>64</v>
      </c>
      <c r="JOB49" s="108">
        <f t="shared" si="226"/>
        <v>0</v>
      </c>
      <c r="JOU49" s="108" t="s">
        <v>64</v>
      </c>
      <c r="JPH49" s="108">
        <f t="shared" si="227"/>
        <v>0</v>
      </c>
      <c r="JQA49" s="108" t="s">
        <v>64</v>
      </c>
      <c r="JQN49" s="108">
        <f t="shared" si="228"/>
        <v>0</v>
      </c>
      <c r="JRG49" s="108" t="s">
        <v>64</v>
      </c>
      <c r="JRT49" s="108">
        <f t="shared" si="229"/>
        <v>0</v>
      </c>
      <c r="JSM49" s="108" t="s">
        <v>64</v>
      </c>
      <c r="JSZ49" s="108">
        <f t="shared" si="230"/>
        <v>0</v>
      </c>
      <c r="JTS49" s="108" t="s">
        <v>64</v>
      </c>
      <c r="JUF49" s="108">
        <f t="shared" si="231"/>
        <v>0</v>
      </c>
      <c r="JUY49" s="108" t="s">
        <v>64</v>
      </c>
      <c r="JVL49" s="108">
        <f t="shared" si="232"/>
        <v>0</v>
      </c>
      <c r="JWE49" s="108" t="s">
        <v>64</v>
      </c>
      <c r="JWR49" s="108">
        <f t="shared" si="233"/>
        <v>0</v>
      </c>
      <c r="JXK49" s="108" t="s">
        <v>64</v>
      </c>
      <c r="JXX49" s="108">
        <f t="shared" si="234"/>
        <v>0</v>
      </c>
      <c r="JYQ49" s="108" t="s">
        <v>64</v>
      </c>
      <c r="JZD49" s="108">
        <f t="shared" si="235"/>
        <v>0</v>
      </c>
      <c r="JZW49" s="108" t="s">
        <v>64</v>
      </c>
      <c r="KAJ49" s="108">
        <f t="shared" si="236"/>
        <v>0</v>
      </c>
      <c r="KBC49" s="108" t="s">
        <v>64</v>
      </c>
      <c r="KBP49" s="108">
        <f t="shared" si="237"/>
        <v>0</v>
      </c>
      <c r="KCI49" s="108" t="s">
        <v>64</v>
      </c>
      <c r="KCV49" s="108">
        <f t="shared" si="238"/>
        <v>0</v>
      </c>
      <c r="KDO49" s="108" t="s">
        <v>64</v>
      </c>
      <c r="KEB49" s="108">
        <f t="shared" si="239"/>
        <v>0</v>
      </c>
      <c r="KEU49" s="108" t="s">
        <v>64</v>
      </c>
      <c r="KFH49" s="108">
        <f t="shared" si="240"/>
        <v>0</v>
      </c>
      <c r="KGA49" s="108" t="s">
        <v>64</v>
      </c>
      <c r="KGN49" s="108">
        <f t="shared" si="241"/>
        <v>0</v>
      </c>
      <c r="KHG49" s="108" t="s">
        <v>64</v>
      </c>
      <c r="KHT49" s="108">
        <f t="shared" si="242"/>
        <v>0</v>
      </c>
      <c r="KIM49" s="108" t="s">
        <v>64</v>
      </c>
      <c r="KIZ49" s="108">
        <f t="shared" si="243"/>
        <v>0</v>
      </c>
      <c r="KJS49" s="108" t="s">
        <v>64</v>
      </c>
      <c r="KKF49" s="108">
        <f t="shared" si="244"/>
        <v>0</v>
      </c>
      <c r="KKY49" s="108" t="s">
        <v>64</v>
      </c>
      <c r="KLL49" s="108">
        <f t="shared" si="245"/>
        <v>0</v>
      </c>
      <c r="KME49" s="108" t="s">
        <v>64</v>
      </c>
      <c r="KMR49" s="108">
        <f t="shared" si="246"/>
        <v>0</v>
      </c>
      <c r="KNK49" s="108" t="s">
        <v>64</v>
      </c>
      <c r="KNX49" s="108">
        <f t="shared" si="247"/>
        <v>0</v>
      </c>
      <c r="KOQ49" s="108" t="s">
        <v>64</v>
      </c>
      <c r="KPD49" s="108">
        <f t="shared" si="248"/>
        <v>0</v>
      </c>
      <c r="KPW49" s="108" t="s">
        <v>64</v>
      </c>
      <c r="KQJ49" s="108">
        <f t="shared" si="249"/>
        <v>0</v>
      </c>
      <c r="KRC49" s="108" t="s">
        <v>64</v>
      </c>
      <c r="KRP49" s="108">
        <f t="shared" si="250"/>
        <v>0</v>
      </c>
      <c r="KSI49" s="108" t="s">
        <v>64</v>
      </c>
      <c r="KSV49" s="108">
        <f t="shared" si="251"/>
        <v>0</v>
      </c>
      <c r="KTO49" s="108" t="s">
        <v>64</v>
      </c>
      <c r="KUB49" s="108">
        <f t="shared" si="252"/>
        <v>0</v>
      </c>
      <c r="KUU49" s="108" t="s">
        <v>64</v>
      </c>
      <c r="KVH49" s="108">
        <f t="shared" si="253"/>
        <v>0</v>
      </c>
      <c r="KWA49" s="108" t="s">
        <v>64</v>
      </c>
      <c r="KWN49" s="108">
        <f t="shared" si="254"/>
        <v>0</v>
      </c>
      <c r="KXG49" s="108" t="s">
        <v>64</v>
      </c>
      <c r="KXT49" s="108">
        <f t="shared" si="255"/>
        <v>0</v>
      </c>
      <c r="KYM49" s="108" t="s">
        <v>64</v>
      </c>
      <c r="KYZ49" s="108">
        <f t="shared" si="256"/>
        <v>0</v>
      </c>
      <c r="KZS49" s="108" t="s">
        <v>64</v>
      </c>
      <c r="LAF49" s="108">
        <f t="shared" si="257"/>
        <v>0</v>
      </c>
      <c r="LAY49" s="108" t="s">
        <v>64</v>
      </c>
      <c r="LBL49" s="108">
        <f t="shared" si="258"/>
        <v>0</v>
      </c>
      <c r="LCE49" s="108" t="s">
        <v>64</v>
      </c>
      <c r="LCR49" s="108">
        <f t="shared" si="259"/>
        <v>0</v>
      </c>
      <c r="LDK49" s="108" t="s">
        <v>64</v>
      </c>
      <c r="LDX49" s="108">
        <f t="shared" si="260"/>
        <v>0</v>
      </c>
      <c r="LEQ49" s="108" t="s">
        <v>64</v>
      </c>
      <c r="LFD49" s="108">
        <f t="shared" si="261"/>
        <v>0</v>
      </c>
      <c r="LFW49" s="108" t="s">
        <v>64</v>
      </c>
      <c r="LGJ49" s="108">
        <f t="shared" si="262"/>
        <v>0</v>
      </c>
      <c r="LHC49" s="108" t="s">
        <v>64</v>
      </c>
      <c r="LHP49" s="108">
        <f t="shared" si="263"/>
        <v>0</v>
      </c>
      <c r="LII49" s="108" t="s">
        <v>64</v>
      </c>
      <c r="LIV49" s="108">
        <f t="shared" si="264"/>
        <v>0</v>
      </c>
      <c r="LJO49" s="108" t="s">
        <v>64</v>
      </c>
      <c r="LKB49" s="108">
        <f t="shared" si="265"/>
        <v>0</v>
      </c>
      <c r="LKU49" s="108" t="s">
        <v>64</v>
      </c>
      <c r="LLH49" s="108">
        <f t="shared" si="266"/>
        <v>0</v>
      </c>
      <c r="LMA49" s="108" t="s">
        <v>64</v>
      </c>
      <c r="LMN49" s="108">
        <f t="shared" si="267"/>
        <v>0</v>
      </c>
      <c r="LNG49" s="108" t="s">
        <v>64</v>
      </c>
      <c r="LNT49" s="108">
        <f t="shared" si="268"/>
        <v>0</v>
      </c>
      <c r="LOM49" s="108" t="s">
        <v>64</v>
      </c>
      <c r="LOZ49" s="108">
        <f t="shared" si="269"/>
        <v>0</v>
      </c>
      <c r="LPS49" s="108" t="s">
        <v>64</v>
      </c>
      <c r="LQF49" s="108">
        <f t="shared" si="270"/>
        <v>0</v>
      </c>
      <c r="LQY49" s="108" t="s">
        <v>64</v>
      </c>
      <c r="LRL49" s="108">
        <f t="shared" si="271"/>
        <v>0</v>
      </c>
      <c r="LSE49" s="108" t="s">
        <v>64</v>
      </c>
      <c r="LSR49" s="108">
        <f t="shared" si="272"/>
        <v>0</v>
      </c>
      <c r="LTK49" s="108" t="s">
        <v>64</v>
      </c>
      <c r="LTX49" s="108">
        <f t="shared" si="273"/>
        <v>0</v>
      </c>
      <c r="LUQ49" s="108" t="s">
        <v>64</v>
      </c>
      <c r="LVD49" s="108">
        <f t="shared" si="274"/>
        <v>0</v>
      </c>
      <c r="LVW49" s="108" t="s">
        <v>64</v>
      </c>
      <c r="LWJ49" s="108">
        <f t="shared" si="275"/>
        <v>0</v>
      </c>
      <c r="LXC49" s="108" t="s">
        <v>64</v>
      </c>
      <c r="LXP49" s="108">
        <f t="shared" si="276"/>
        <v>0</v>
      </c>
      <c r="LYI49" s="108" t="s">
        <v>64</v>
      </c>
      <c r="LYV49" s="108">
        <f t="shared" si="277"/>
        <v>0</v>
      </c>
      <c r="LZO49" s="108" t="s">
        <v>64</v>
      </c>
      <c r="MAB49" s="108">
        <f t="shared" si="278"/>
        <v>0</v>
      </c>
      <c r="MAU49" s="108" t="s">
        <v>64</v>
      </c>
      <c r="MBH49" s="108">
        <f t="shared" si="279"/>
        <v>0</v>
      </c>
      <c r="MCA49" s="108" t="s">
        <v>64</v>
      </c>
      <c r="MCN49" s="108">
        <f t="shared" si="280"/>
        <v>0</v>
      </c>
      <c r="MDG49" s="108" t="s">
        <v>64</v>
      </c>
      <c r="MDT49" s="108">
        <f t="shared" si="281"/>
        <v>0</v>
      </c>
      <c r="MEM49" s="108" t="s">
        <v>64</v>
      </c>
      <c r="MEZ49" s="108">
        <f t="shared" si="282"/>
        <v>0</v>
      </c>
      <c r="MFS49" s="108" t="s">
        <v>64</v>
      </c>
      <c r="MGF49" s="108">
        <f t="shared" si="283"/>
        <v>0</v>
      </c>
      <c r="MGY49" s="108" t="s">
        <v>64</v>
      </c>
      <c r="MHL49" s="108">
        <f t="shared" si="284"/>
        <v>0</v>
      </c>
      <c r="MIE49" s="108" t="s">
        <v>64</v>
      </c>
      <c r="MIR49" s="108">
        <f t="shared" si="285"/>
        <v>0</v>
      </c>
      <c r="MJK49" s="108" t="s">
        <v>64</v>
      </c>
      <c r="MJX49" s="108">
        <f t="shared" si="286"/>
        <v>0</v>
      </c>
      <c r="MKQ49" s="108" t="s">
        <v>64</v>
      </c>
      <c r="MLD49" s="108">
        <f t="shared" si="287"/>
        <v>0</v>
      </c>
      <c r="MLW49" s="108" t="s">
        <v>64</v>
      </c>
      <c r="MMJ49" s="108">
        <f t="shared" si="288"/>
        <v>0</v>
      </c>
      <c r="MNC49" s="108" t="s">
        <v>64</v>
      </c>
      <c r="MNP49" s="108">
        <f t="shared" si="289"/>
        <v>0</v>
      </c>
      <c r="MOI49" s="108" t="s">
        <v>64</v>
      </c>
      <c r="MOV49" s="108">
        <f t="shared" si="290"/>
        <v>0</v>
      </c>
      <c r="MPO49" s="108" t="s">
        <v>64</v>
      </c>
      <c r="MQB49" s="108">
        <f t="shared" si="291"/>
        <v>0</v>
      </c>
      <c r="MQU49" s="108" t="s">
        <v>64</v>
      </c>
      <c r="MRH49" s="108">
        <f t="shared" si="292"/>
        <v>0</v>
      </c>
      <c r="MSA49" s="108" t="s">
        <v>64</v>
      </c>
      <c r="MSN49" s="108">
        <f t="shared" si="293"/>
        <v>0</v>
      </c>
      <c r="MTG49" s="108" t="s">
        <v>64</v>
      </c>
      <c r="MTT49" s="108">
        <f t="shared" si="294"/>
        <v>0</v>
      </c>
      <c r="MUM49" s="108" t="s">
        <v>64</v>
      </c>
      <c r="MUZ49" s="108">
        <f t="shared" si="295"/>
        <v>0</v>
      </c>
      <c r="MVS49" s="108" t="s">
        <v>64</v>
      </c>
      <c r="MWF49" s="108">
        <f t="shared" si="296"/>
        <v>0</v>
      </c>
      <c r="MWY49" s="108" t="s">
        <v>64</v>
      </c>
      <c r="MXL49" s="108">
        <f t="shared" si="297"/>
        <v>0</v>
      </c>
      <c r="MYE49" s="108" t="s">
        <v>64</v>
      </c>
      <c r="MYR49" s="108">
        <f t="shared" si="298"/>
        <v>0</v>
      </c>
      <c r="MZK49" s="108" t="s">
        <v>64</v>
      </c>
      <c r="MZX49" s="108">
        <f t="shared" si="299"/>
        <v>0</v>
      </c>
      <c r="NAQ49" s="108" t="s">
        <v>64</v>
      </c>
      <c r="NBD49" s="108">
        <f t="shared" si="300"/>
        <v>0</v>
      </c>
      <c r="NBW49" s="108" t="s">
        <v>64</v>
      </c>
      <c r="NCJ49" s="108">
        <f t="shared" si="301"/>
        <v>0</v>
      </c>
      <c r="NDC49" s="108" t="s">
        <v>64</v>
      </c>
      <c r="NDP49" s="108">
        <f t="shared" si="302"/>
        <v>0</v>
      </c>
      <c r="NEI49" s="108" t="s">
        <v>64</v>
      </c>
      <c r="NEV49" s="108">
        <f t="shared" si="303"/>
        <v>0</v>
      </c>
      <c r="NFO49" s="108" t="s">
        <v>64</v>
      </c>
      <c r="NGB49" s="108">
        <f t="shared" si="304"/>
        <v>0</v>
      </c>
      <c r="NGU49" s="108" t="s">
        <v>64</v>
      </c>
      <c r="NHH49" s="108">
        <f t="shared" si="305"/>
        <v>0</v>
      </c>
      <c r="NIA49" s="108" t="s">
        <v>64</v>
      </c>
      <c r="NIN49" s="108">
        <f t="shared" si="306"/>
        <v>0</v>
      </c>
      <c r="NJG49" s="108" t="s">
        <v>64</v>
      </c>
      <c r="NJT49" s="108">
        <f t="shared" si="307"/>
        <v>0</v>
      </c>
      <c r="NKM49" s="108" t="s">
        <v>64</v>
      </c>
      <c r="NKZ49" s="108">
        <f t="shared" si="308"/>
        <v>0</v>
      </c>
      <c r="NLS49" s="108" t="s">
        <v>64</v>
      </c>
      <c r="NMF49" s="108">
        <f t="shared" si="309"/>
        <v>0</v>
      </c>
      <c r="NMY49" s="108" t="s">
        <v>64</v>
      </c>
      <c r="NNL49" s="108">
        <f t="shared" si="310"/>
        <v>0</v>
      </c>
      <c r="NOE49" s="108" t="s">
        <v>64</v>
      </c>
      <c r="NOR49" s="108">
        <f t="shared" si="311"/>
        <v>0</v>
      </c>
      <c r="NPK49" s="108" t="s">
        <v>64</v>
      </c>
      <c r="NPX49" s="108">
        <f t="shared" si="312"/>
        <v>0</v>
      </c>
      <c r="NQQ49" s="108" t="s">
        <v>64</v>
      </c>
      <c r="NRD49" s="108">
        <f t="shared" si="313"/>
        <v>0</v>
      </c>
      <c r="NRW49" s="108" t="s">
        <v>64</v>
      </c>
      <c r="NSJ49" s="108">
        <f t="shared" si="314"/>
        <v>0</v>
      </c>
      <c r="NTC49" s="108" t="s">
        <v>64</v>
      </c>
      <c r="NTP49" s="108">
        <f t="shared" si="315"/>
        <v>0</v>
      </c>
      <c r="NUI49" s="108" t="s">
        <v>64</v>
      </c>
      <c r="NUV49" s="108">
        <f t="shared" si="316"/>
        <v>0</v>
      </c>
      <c r="NVO49" s="108" t="s">
        <v>64</v>
      </c>
      <c r="NWB49" s="108">
        <f t="shared" si="317"/>
        <v>0</v>
      </c>
      <c r="NWU49" s="108" t="s">
        <v>64</v>
      </c>
      <c r="NXH49" s="108">
        <f t="shared" si="318"/>
        <v>0</v>
      </c>
      <c r="NYA49" s="108" t="s">
        <v>64</v>
      </c>
      <c r="NYN49" s="108">
        <f t="shared" si="319"/>
        <v>0</v>
      </c>
      <c r="NZG49" s="108" t="s">
        <v>64</v>
      </c>
      <c r="NZT49" s="108">
        <f t="shared" si="320"/>
        <v>0</v>
      </c>
      <c r="OAM49" s="108" t="s">
        <v>64</v>
      </c>
      <c r="OAZ49" s="108">
        <f t="shared" si="321"/>
        <v>0</v>
      </c>
      <c r="OBS49" s="108" t="s">
        <v>64</v>
      </c>
      <c r="OCF49" s="108">
        <f t="shared" si="322"/>
        <v>0</v>
      </c>
      <c r="OCY49" s="108" t="s">
        <v>64</v>
      </c>
      <c r="ODL49" s="108">
        <f t="shared" si="323"/>
        <v>0</v>
      </c>
      <c r="OEE49" s="108" t="s">
        <v>64</v>
      </c>
      <c r="OER49" s="108">
        <f t="shared" si="324"/>
        <v>0</v>
      </c>
      <c r="OFK49" s="108" t="s">
        <v>64</v>
      </c>
      <c r="OFX49" s="108">
        <f t="shared" si="325"/>
        <v>0</v>
      </c>
      <c r="OGQ49" s="108" t="s">
        <v>64</v>
      </c>
      <c r="OHD49" s="108">
        <f t="shared" si="326"/>
        <v>0</v>
      </c>
      <c r="OHW49" s="108" t="s">
        <v>64</v>
      </c>
      <c r="OIJ49" s="108">
        <f t="shared" si="327"/>
        <v>0</v>
      </c>
      <c r="OJC49" s="108" t="s">
        <v>64</v>
      </c>
      <c r="OJP49" s="108">
        <f t="shared" si="328"/>
        <v>0</v>
      </c>
      <c r="OKI49" s="108" t="s">
        <v>64</v>
      </c>
      <c r="OKV49" s="108">
        <f t="shared" si="329"/>
        <v>0</v>
      </c>
      <c r="OLO49" s="108" t="s">
        <v>64</v>
      </c>
      <c r="OMB49" s="108">
        <f t="shared" si="330"/>
        <v>0</v>
      </c>
      <c r="OMU49" s="108" t="s">
        <v>64</v>
      </c>
      <c r="ONH49" s="108">
        <f t="shared" si="331"/>
        <v>0</v>
      </c>
      <c r="OOA49" s="108" t="s">
        <v>64</v>
      </c>
      <c r="OON49" s="108">
        <f t="shared" si="332"/>
        <v>0</v>
      </c>
      <c r="OPG49" s="108" t="s">
        <v>64</v>
      </c>
      <c r="OPT49" s="108">
        <f t="shared" si="333"/>
        <v>0</v>
      </c>
      <c r="OQM49" s="108" t="s">
        <v>64</v>
      </c>
      <c r="OQZ49" s="108">
        <f t="shared" si="334"/>
        <v>0</v>
      </c>
      <c r="ORS49" s="108" t="s">
        <v>64</v>
      </c>
      <c r="OSF49" s="108">
        <f t="shared" si="335"/>
        <v>0</v>
      </c>
      <c r="OSY49" s="108" t="s">
        <v>64</v>
      </c>
      <c r="OTL49" s="108">
        <f t="shared" si="336"/>
        <v>0</v>
      </c>
      <c r="OUE49" s="108" t="s">
        <v>64</v>
      </c>
      <c r="OUR49" s="108">
        <f t="shared" si="337"/>
        <v>0</v>
      </c>
      <c r="OVK49" s="108" t="s">
        <v>64</v>
      </c>
      <c r="OVX49" s="108">
        <f t="shared" si="338"/>
        <v>0</v>
      </c>
      <c r="OWQ49" s="108" t="s">
        <v>64</v>
      </c>
      <c r="OXD49" s="108">
        <f t="shared" si="339"/>
        <v>0</v>
      </c>
      <c r="OXW49" s="108" t="s">
        <v>64</v>
      </c>
      <c r="OYJ49" s="108">
        <f t="shared" si="340"/>
        <v>0</v>
      </c>
      <c r="OZC49" s="108" t="s">
        <v>64</v>
      </c>
      <c r="OZP49" s="108">
        <f t="shared" si="341"/>
        <v>0</v>
      </c>
      <c r="PAI49" s="108" t="s">
        <v>64</v>
      </c>
      <c r="PAV49" s="108">
        <f t="shared" si="342"/>
        <v>0</v>
      </c>
      <c r="PBO49" s="108" t="s">
        <v>64</v>
      </c>
      <c r="PCB49" s="108">
        <f t="shared" si="343"/>
        <v>0</v>
      </c>
      <c r="PCU49" s="108" t="s">
        <v>64</v>
      </c>
      <c r="PDH49" s="108">
        <f t="shared" si="344"/>
        <v>0</v>
      </c>
      <c r="PEA49" s="108" t="s">
        <v>64</v>
      </c>
      <c r="PEN49" s="108">
        <f t="shared" si="345"/>
        <v>0</v>
      </c>
      <c r="PFG49" s="108" t="s">
        <v>64</v>
      </c>
      <c r="PFT49" s="108">
        <f t="shared" si="346"/>
        <v>0</v>
      </c>
      <c r="PGM49" s="108" t="s">
        <v>64</v>
      </c>
      <c r="PGZ49" s="108">
        <f t="shared" si="347"/>
        <v>0</v>
      </c>
      <c r="PHS49" s="108" t="s">
        <v>64</v>
      </c>
      <c r="PIF49" s="108">
        <f t="shared" si="348"/>
        <v>0</v>
      </c>
      <c r="PIY49" s="108" t="s">
        <v>64</v>
      </c>
      <c r="PJL49" s="108">
        <f t="shared" si="349"/>
        <v>0</v>
      </c>
      <c r="PKE49" s="108" t="s">
        <v>64</v>
      </c>
      <c r="PKR49" s="108">
        <f t="shared" si="350"/>
        <v>0</v>
      </c>
      <c r="PLK49" s="108" t="s">
        <v>64</v>
      </c>
      <c r="PLX49" s="108">
        <f t="shared" si="351"/>
        <v>0</v>
      </c>
      <c r="PMQ49" s="108" t="s">
        <v>64</v>
      </c>
      <c r="PND49" s="108">
        <f t="shared" si="352"/>
        <v>0</v>
      </c>
      <c r="PNW49" s="108" t="s">
        <v>64</v>
      </c>
      <c r="POJ49" s="108">
        <f t="shared" si="353"/>
        <v>0</v>
      </c>
      <c r="PPC49" s="108" t="s">
        <v>64</v>
      </c>
      <c r="PPP49" s="108">
        <f t="shared" si="354"/>
        <v>0</v>
      </c>
      <c r="PQI49" s="108" t="s">
        <v>64</v>
      </c>
      <c r="PQV49" s="108">
        <f t="shared" si="355"/>
        <v>0</v>
      </c>
      <c r="PRO49" s="108" t="s">
        <v>64</v>
      </c>
      <c r="PSB49" s="108">
        <f t="shared" si="356"/>
        <v>0</v>
      </c>
      <c r="PSU49" s="108" t="s">
        <v>64</v>
      </c>
      <c r="PTH49" s="108">
        <f t="shared" si="357"/>
        <v>0</v>
      </c>
      <c r="PUA49" s="108" t="s">
        <v>64</v>
      </c>
      <c r="PUN49" s="108">
        <f t="shared" si="358"/>
        <v>0</v>
      </c>
      <c r="PVG49" s="108" t="s">
        <v>64</v>
      </c>
      <c r="PVT49" s="108">
        <f t="shared" si="359"/>
        <v>0</v>
      </c>
      <c r="PWM49" s="108" t="s">
        <v>64</v>
      </c>
      <c r="PWZ49" s="108">
        <f t="shared" si="360"/>
        <v>0</v>
      </c>
      <c r="PXS49" s="108" t="s">
        <v>64</v>
      </c>
      <c r="PYF49" s="108">
        <f t="shared" si="361"/>
        <v>0</v>
      </c>
      <c r="PYY49" s="108" t="s">
        <v>64</v>
      </c>
      <c r="PZL49" s="108">
        <f t="shared" si="362"/>
        <v>0</v>
      </c>
      <c r="QAE49" s="108" t="s">
        <v>64</v>
      </c>
      <c r="QAR49" s="108">
        <f t="shared" si="363"/>
        <v>0</v>
      </c>
      <c r="QBK49" s="108" t="s">
        <v>64</v>
      </c>
      <c r="QBX49" s="108">
        <f t="shared" si="364"/>
        <v>0</v>
      </c>
      <c r="QCQ49" s="108" t="s">
        <v>64</v>
      </c>
      <c r="QDD49" s="108">
        <f t="shared" si="365"/>
        <v>0</v>
      </c>
      <c r="QDW49" s="108" t="s">
        <v>64</v>
      </c>
      <c r="QEJ49" s="108">
        <f t="shared" si="366"/>
        <v>0</v>
      </c>
      <c r="QFC49" s="108" t="s">
        <v>64</v>
      </c>
      <c r="QFP49" s="108">
        <f t="shared" si="367"/>
        <v>0</v>
      </c>
      <c r="QGI49" s="108" t="s">
        <v>64</v>
      </c>
      <c r="QGV49" s="108">
        <f t="shared" si="368"/>
        <v>0</v>
      </c>
      <c r="QHO49" s="108" t="s">
        <v>64</v>
      </c>
      <c r="QIB49" s="108">
        <f t="shared" si="369"/>
        <v>0</v>
      </c>
      <c r="QIU49" s="108" t="s">
        <v>64</v>
      </c>
      <c r="QJH49" s="108">
        <f t="shared" si="370"/>
        <v>0</v>
      </c>
      <c r="QKA49" s="108" t="s">
        <v>64</v>
      </c>
      <c r="QKN49" s="108">
        <f t="shared" si="371"/>
        <v>0</v>
      </c>
      <c r="QLG49" s="108" t="s">
        <v>64</v>
      </c>
      <c r="QLT49" s="108">
        <f t="shared" si="372"/>
        <v>0</v>
      </c>
      <c r="QMM49" s="108" t="s">
        <v>64</v>
      </c>
      <c r="QMZ49" s="108">
        <f t="shared" si="373"/>
        <v>0</v>
      </c>
      <c r="QNS49" s="108" t="s">
        <v>64</v>
      </c>
      <c r="QOF49" s="108">
        <f t="shared" si="374"/>
        <v>0</v>
      </c>
      <c r="QOY49" s="108" t="s">
        <v>64</v>
      </c>
      <c r="QPL49" s="108">
        <f t="shared" si="375"/>
        <v>0</v>
      </c>
      <c r="QQE49" s="108" t="s">
        <v>64</v>
      </c>
      <c r="QQR49" s="108">
        <f t="shared" si="376"/>
        <v>0</v>
      </c>
      <c r="QRK49" s="108" t="s">
        <v>64</v>
      </c>
      <c r="QRX49" s="108">
        <f t="shared" si="377"/>
        <v>0</v>
      </c>
      <c r="QSQ49" s="108" t="s">
        <v>64</v>
      </c>
      <c r="QTD49" s="108">
        <f t="shared" si="378"/>
        <v>0</v>
      </c>
      <c r="QTW49" s="108" t="s">
        <v>64</v>
      </c>
      <c r="QUJ49" s="108">
        <f t="shared" si="379"/>
        <v>0</v>
      </c>
      <c r="QVC49" s="108" t="s">
        <v>64</v>
      </c>
      <c r="QVP49" s="108">
        <f t="shared" si="380"/>
        <v>0</v>
      </c>
      <c r="QWI49" s="108" t="s">
        <v>64</v>
      </c>
      <c r="QWV49" s="108">
        <f t="shared" si="381"/>
        <v>0</v>
      </c>
      <c r="QXO49" s="108" t="s">
        <v>64</v>
      </c>
      <c r="QYB49" s="108">
        <f t="shared" si="382"/>
        <v>0</v>
      </c>
      <c r="QYU49" s="108" t="s">
        <v>64</v>
      </c>
      <c r="QZH49" s="108">
        <f t="shared" si="383"/>
        <v>0</v>
      </c>
      <c r="RAA49" s="108" t="s">
        <v>64</v>
      </c>
      <c r="RAN49" s="108">
        <f t="shared" si="384"/>
        <v>0</v>
      </c>
      <c r="RBG49" s="108" t="s">
        <v>64</v>
      </c>
      <c r="RBT49" s="108">
        <f t="shared" si="385"/>
        <v>0</v>
      </c>
      <c r="RCM49" s="108" t="s">
        <v>64</v>
      </c>
      <c r="RCZ49" s="108">
        <f t="shared" si="386"/>
        <v>0</v>
      </c>
      <c r="RDS49" s="108" t="s">
        <v>64</v>
      </c>
      <c r="REF49" s="108">
        <f t="shared" si="387"/>
        <v>0</v>
      </c>
      <c r="REY49" s="108" t="s">
        <v>64</v>
      </c>
      <c r="RFL49" s="108">
        <f t="shared" si="388"/>
        <v>0</v>
      </c>
      <c r="RGE49" s="108" t="s">
        <v>64</v>
      </c>
      <c r="RGR49" s="108">
        <f t="shared" si="389"/>
        <v>0</v>
      </c>
      <c r="RHK49" s="108" t="s">
        <v>64</v>
      </c>
      <c r="RHX49" s="108">
        <f t="shared" si="390"/>
        <v>0</v>
      </c>
      <c r="RIQ49" s="108" t="s">
        <v>64</v>
      </c>
      <c r="RJD49" s="108">
        <f t="shared" si="391"/>
        <v>0</v>
      </c>
      <c r="RJW49" s="108" t="s">
        <v>64</v>
      </c>
      <c r="RKJ49" s="108">
        <f t="shared" si="392"/>
        <v>0</v>
      </c>
      <c r="RLC49" s="108" t="s">
        <v>64</v>
      </c>
      <c r="RLP49" s="108">
        <f t="shared" si="393"/>
        <v>0</v>
      </c>
      <c r="RMI49" s="108" t="s">
        <v>64</v>
      </c>
      <c r="RMV49" s="108">
        <f t="shared" si="394"/>
        <v>0</v>
      </c>
      <c r="RNO49" s="108" t="s">
        <v>64</v>
      </c>
      <c r="ROB49" s="108">
        <f t="shared" si="395"/>
        <v>0</v>
      </c>
      <c r="ROU49" s="108" t="s">
        <v>64</v>
      </c>
      <c r="RPH49" s="108">
        <f t="shared" si="396"/>
        <v>0</v>
      </c>
      <c r="RQA49" s="108" t="s">
        <v>64</v>
      </c>
      <c r="RQN49" s="108">
        <f t="shared" si="397"/>
        <v>0</v>
      </c>
      <c r="RRG49" s="108" t="s">
        <v>64</v>
      </c>
      <c r="RRT49" s="108">
        <f t="shared" si="398"/>
        <v>0</v>
      </c>
      <c r="RSM49" s="108" t="s">
        <v>64</v>
      </c>
      <c r="RSZ49" s="108">
        <f t="shared" si="399"/>
        <v>0</v>
      </c>
      <c r="RTS49" s="108" t="s">
        <v>64</v>
      </c>
      <c r="RUF49" s="108">
        <f t="shared" si="400"/>
        <v>0</v>
      </c>
      <c r="RUY49" s="108" t="s">
        <v>64</v>
      </c>
      <c r="RVL49" s="108">
        <f t="shared" si="401"/>
        <v>0</v>
      </c>
      <c r="RWE49" s="108" t="s">
        <v>64</v>
      </c>
      <c r="RWR49" s="108">
        <f t="shared" si="402"/>
        <v>0</v>
      </c>
      <c r="RXK49" s="108" t="s">
        <v>64</v>
      </c>
      <c r="RXX49" s="108">
        <f t="shared" si="403"/>
        <v>0</v>
      </c>
      <c r="RYQ49" s="108" t="s">
        <v>64</v>
      </c>
      <c r="RZD49" s="108">
        <f t="shared" si="404"/>
        <v>0</v>
      </c>
      <c r="RZW49" s="108" t="s">
        <v>64</v>
      </c>
      <c r="SAJ49" s="108">
        <f t="shared" si="405"/>
        <v>0</v>
      </c>
      <c r="SBC49" s="108" t="s">
        <v>64</v>
      </c>
      <c r="SBP49" s="108">
        <f t="shared" si="406"/>
        <v>0</v>
      </c>
      <c r="SCI49" s="108" t="s">
        <v>64</v>
      </c>
      <c r="SCV49" s="108">
        <f t="shared" si="407"/>
        <v>0</v>
      </c>
      <c r="SDO49" s="108" t="s">
        <v>64</v>
      </c>
      <c r="SEB49" s="108">
        <f t="shared" si="408"/>
        <v>0</v>
      </c>
      <c r="SEU49" s="108" t="s">
        <v>64</v>
      </c>
      <c r="SFH49" s="108">
        <f t="shared" si="409"/>
        <v>0</v>
      </c>
      <c r="SGA49" s="108" t="s">
        <v>64</v>
      </c>
      <c r="SGN49" s="108">
        <f t="shared" si="410"/>
        <v>0</v>
      </c>
      <c r="SHG49" s="108" t="s">
        <v>64</v>
      </c>
      <c r="SHT49" s="108">
        <f t="shared" si="411"/>
        <v>0</v>
      </c>
      <c r="SIM49" s="108" t="s">
        <v>64</v>
      </c>
      <c r="SIZ49" s="108">
        <f t="shared" si="412"/>
        <v>0</v>
      </c>
      <c r="SJS49" s="108" t="s">
        <v>64</v>
      </c>
      <c r="SKF49" s="108">
        <f t="shared" si="413"/>
        <v>0</v>
      </c>
      <c r="SKY49" s="108" t="s">
        <v>64</v>
      </c>
      <c r="SLL49" s="108">
        <f t="shared" si="414"/>
        <v>0</v>
      </c>
      <c r="SME49" s="108" t="s">
        <v>64</v>
      </c>
      <c r="SMR49" s="108">
        <f t="shared" si="415"/>
        <v>0</v>
      </c>
      <c r="SNK49" s="108" t="s">
        <v>64</v>
      </c>
      <c r="SNX49" s="108">
        <f t="shared" si="416"/>
        <v>0</v>
      </c>
      <c r="SOQ49" s="108" t="s">
        <v>64</v>
      </c>
      <c r="SPD49" s="108">
        <f t="shared" si="417"/>
        <v>0</v>
      </c>
      <c r="SPW49" s="108" t="s">
        <v>64</v>
      </c>
      <c r="SQJ49" s="108">
        <f t="shared" si="418"/>
        <v>0</v>
      </c>
      <c r="SRC49" s="108" t="s">
        <v>64</v>
      </c>
      <c r="SRP49" s="108">
        <f t="shared" si="419"/>
        <v>0</v>
      </c>
      <c r="SSI49" s="108" t="s">
        <v>64</v>
      </c>
      <c r="SSV49" s="108">
        <f t="shared" si="420"/>
        <v>0</v>
      </c>
      <c r="STO49" s="108" t="s">
        <v>64</v>
      </c>
      <c r="SUB49" s="108">
        <f t="shared" si="421"/>
        <v>0</v>
      </c>
      <c r="SUU49" s="108" t="s">
        <v>64</v>
      </c>
      <c r="SVH49" s="108">
        <f t="shared" si="422"/>
        <v>0</v>
      </c>
      <c r="SWA49" s="108" t="s">
        <v>64</v>
      </c>
      <c r="SWN49" s="108">
        <f t="shared" si="423"/>
        <v>0</v>
      </c>
      <c r="SXG49" s="108" t="s">
        <v>64</v>
      </c>
      <c r="SXT49" s="108">
        <f t="shared" si="424"/>
        <v>0</v>
      </c>
      <c r="SYM49" s="108" t="s">
        <v>64</v>
      </c>
      <c r="SYZ49" s="108">
        <f t="shared" si="425"/>
        <v>0</v>
      </c>
      <c r="SZS49" s="108" t="s">
        <v>64</v>
      </c>
      <c r="TAF49" s="108">
        <f t="shared" si="426"/>
        <v>0</v>
      </c>
      <c r="TAY49" s="108" t="s">
        <v>64</v>
      </c>
      <c r="TBL49" s="108">
        <f t="shared" si="427"/>
        <v>0</v>
      </c>
      <c r="TCE49" s="108" t="s">
        <v>64</v>
      </c>
      <c r="TCR49" s="108">
        <f t="shared" si="428"/>
        <v>0</v>
      </c>
      <c r="TDK49" s="108" t="s">
        <v>64</v>
      </c>
      <c r="TDX49" s="108">
        <f t="shared" si="429"/>
        <v>0</v>
      </c>
      <c r="TEQ49" s="108" t="s">
        <v>64</v>
      </c>
      <c r="TFD49" s="108">
        <f t="shared" si="430"/>
        <v>0</v>
      </c>
      <c r="TFW49" s="108" t="s">
        <v>64</v>
      </c>
      <c r="TGJ49" s="108">
        <f t="shared" si="431"/>
        <v>0</v>
      </c>
      <c r="THC49" s="108" t="s">
        <v>64</v>
      </c>
      <c r="THP49" s="108">
        <f t="shared" si="432"/>
        <v>0</v>
      </c>
      <c r="TII49" s="108" t="s">
        <v>64</v>
      </c>
      <c r="TIV49" s="108">
        <f t="shared" si="433"/>
        <v>0</v>
      </c>
      <c r="TJO49" s="108" t="s">
        <v>64</v>
      </c>
      <c r="TKB49" s="108">
        <f t="shared" si="434"/>
        <v>0</v>
      </c>
      <c r="TKU49" s="108" t="s">
        <v>64</v>
      </c>
      <c r="TLH49" s="108">
        <f t="shared" si="435"/>
        <v>0</v>
      </c>
      <c r="TMA49" s="108" t="s">
        <v>64</v>
      </c>
      <c r="TMN49" s="108">
        <f t="shared" si="436"/>
        <v>0</v>
      </c>
      <c r="TNG49" s="108" t="s">
        <v>64</v>
      </c>
      <c r="TNT49" s="108">
        <f t="shared" si="437"/>
        <v>0</v>
      </c>
      <c r="TOM49" s="108" t="s">
        <v>64</v>
      </c>
      <c r="TOZ49" s="108">
        <f t="shared" si="438"/>
        <v>0</v>
      </c>
      <c r="TPS49" s="108" t="s">
        <v>64</v>
      </c>
      <c r="TQF49" s="108">
        <f t="shared" si="439"/>
        <v>0</v>
      </c>
      <c r="TQY49" s="108" t="s">
        <v>64</v>
      </c>
      <c r="TRL49" s="108">
        <f t="shared" si="440"/>
        <v>0</v>
      </c>
      <c r="TSE49" s="108" t="s">
        <v>64</v>
      </c>
      <c r="TSR49" s="108">
        <f t="shared" si="441"/>
        <v>0</v>
      </c>
      <c r="TTK49" s="108" t="s">
        <v>64</v>
      </c>
      <c r="TTX49" s="108">
        <f t="shared" si="442"/>
        <v>0</v>
      </c>
      <c r="TUQ49" s="108" t="s">
        <v>64</v>
      </c>
      <c r="TVD49" s="108">
        <f t="shared" si="443"/>
        <v>0</v>
      </c>
      <c r="TVW49" s="108" t="s">
        <v>64</v>
      </c>
      <c r="TWJ49" s="108">
        <f t="shared" si="444"/>
        <v>0</v>
      </c>
      <c r="TXC49" s="108" t="s">
        <v>64</v>
      </c>
      <c r="TXP49" s="108">
        <f t="shared" si="445"/>
        <v>0</v>
      </c>
      <c r="TYI49" s="108" t="s">
        <v>64</v>
      </c>
      <c r="TYV49" s="108">
        <f t="shared" si="446"/>
        <v>0</v>
      </c>
      <c r="TZO49" s="108" t="s">
        <v>64</v>
      </c>
      <c r="UAB49" s="108">
        <f t="shared" si="447"/>
        <v>0</v>
      </c>
      <c r="UAU49" s="108" t="s">
        <v>64</v>
      </c>
      <c r="UBH49" s="108">
        <f t="shared" si="448"/>
        <v>0</v>
      </c>
      <c r="UCA49" s="108" t="s">
        <v>64</v>
      </c>
      <c r="UCN49" s="108">
        <f t="shared" si="449"/>
        <v>0</v>
      </c>
      <c r="UDG49" s="108" t="s">
        <v>64</v>
      </c>
      <c r="UDT49" s="108">
        <f t="shared" si="450"/>
        <v>0</v>
      </c>
      <c r="UEM49" s="108" t="s">
        <v>64</v>
      </c>
      <c r="UEZ49" s="108">
        <f t="shared" si="451"/>
        <v>0</v>
      </c>
      <c r="UFS49" s="108" t="s">
        <v>64</v>
      </c>
      <c r="UGF49" s="108">
        <f t="shared" si="452"/>
        <v>0</v>
      </c>
      <c r="UGY49" s="108" t="s">
        <v>64</v>
      </c>
      <c r="UHL49" s="108">
        <f t="shared" si="453"/>
        <v>0</v>
      </c>
      <c r="UIE49" s="108" t="s">
        <v>64</v>
      </c>
      <c r="UIR49" s="108">
        <f t="shared" si="454"/>
        <v>0</v>
      </c>
      <c r="UJK49" s="108" t="s">
        <v>64</v>
      </c>
      <c r="UJX49" s="108">
        <f t="shared" si="455"/>
        <v>0</v>
      </c>
      <c r="UKQ49" s="108" t="s">
        <v>64</v>
      </c>
      <c r="ULD49" s="108">
        <f t="shared" si="456"/>
        <v>0</v>
      </c>
      <c r="ULW49" s="108" t="s">
        <v>64</v>
      </c>
      <c r="UMJ49" s="108">
        <f t="shared" si="457"/>
        <v>0</v>
      </c>
      <c r="UNC49" s="108" t="s">
        <v>64</v>
      </c>
      <c r="UNP49" s="108">
        <f t="shared" si="458"/>
        <v>0</v>
      </c>
      <c r="UOI49" s="108" t="s">
        <v>64</v>
      </c>
      <c r="UOV49" s="108">
        <f t="shared" si="459"/>
        <v>0</v>
      </c>
      <c r="UPO49" s="108" t="s">
        <v>64</v>
      </c>
      <c r="UQB49" s="108">
        <f t="shared" si="460"/>
        <v>0</v>
      </c>
      <c r="UQU49" s="108" t="s">
        <v>64</v>
      </c>
      <c r="URH49" s="108">
        <f t="shared" si="461"/>
        <v>0</v>
      </c>
      <c r="USA49" s="108" t="s">
        <v>64</v>
      </c>
      <c r="USN49" s="108">
        <f t="shared" si="462"/>
        <v>0</v>
      </c>
      <c r="UTG49" s="108" t="s">
        <v>64</v>
      </c>
      <c r="UTT49" s="108">
        <f t="shared" si="463"/>
        <v>0</v>
      </c>
      <c r="UUM49" s="108" t="s">
        <v>64</v>
      </c>
      <c r="UUZ49" s="108">
        <f t="shared" si="464"/>
        <v>0</v>
      </c>
      <c r="UVS49" s="108" t="s">
        <v>64</v>
      </c>
      <c r="UWF49" s="108">
        <f t="shared" si="465"/>
        <v>0</v>
      </c>
      <c r="UWY49" s="108" t="s">
        <v>64</v>
      </c>
      <c r="UXL49" s="108">
        <f t="shared" si="466"/>
        <v>0</v>
      </c>
      <c r="UYE49" s="108" t="s">
        <v>64</v>
      </c>
      <c r="UYR49" s="108">
        <f t="shared" si="467"/>
        <v>0</v>
      </c>
      <c r="UZK49" s="108" t="s">
        <v>64</v>
      </c>
      <c r="UZX49" s="108">
        <f t="shared" si="468"/>
        <v>0</v>
      </c>
      <c r="VAQ49" s="108" t="s">
        <v>64</v>
      </c>
      <c r="VBD49" s="108">
        <f t="shared" si="469"/>
        <v>0</v>
      </c>
      <c r="VBW49" s="108" t="s">
        <v>64</v>
      </c>
      <c r="VCJ49" s="108">
        <f t="shared" si="470"/>
        <v>0</v>
      </c>
      <c r="VDC49" s="108" t="s">
        <v>64</v>
      </c>
      <c r="VDP49" s="108">
        <f t="shared" si="471"/>
        <v>0</v>
      </c>
      <c r="VEI49" s="108" t="s">
        <v>64</v>
      </c>
      <c r="VEV49" s="108">
        <f t="shared" si="472"/>
        <v>0</v>
      </c>
      <c r="VFO49" s="108" t="s">
        <v>64</v>
      </c>
      <c r="VGB49" s="108">
        <f t="shared" si="473"/>
        <v>0</v>
      </c>
      <c r="VGU49" s="108" t="s">
        <v>64</v>
      </c>
      <c r="VHH49" s="108">
        <f t="shared" si="474"/>
        <v>0</v>
      </c>
      <c r="VIA49" s="108" t="s">
        <v>64</v>
      </c>
      <c r="VIN49" s="108">
        <f t="shared" si="475"/>
        <v>0</v>
      </c>
      <c r="VJG49" s="108" t="s">
        <v>64</v>
      </c>
      <c r="VJT49" s="108">
        <f t="shared" si="476"/>
        <v>0</v>
      </c>
      <c r="VKM49" s="108" t="s">
        <v>64</v>
      </c>
      <c r="VKZ49" s="108">
        <f t="shared" si="477"/>
        <v>0</v>
      </c>
      <c r="VLS49" s="108" t="s">
        <v>64</v>
      </c>
      <c r="VMF49" s="108">
        <f t="shared" si="478"/>
        <v>0</v>
      </c>
      <c r="VMY49" s="108" t="s">
        <v>64</v>
      </c>
      <c r="VNL49" s="108">
        <f t="shared" si="479"/>
        <v>0</v>
      </c>
      <c r="VOE49" s="108" t="s">
        <v>64</v>
      </c>
      <c r="VOR49" s="108">
        <f t="shared" si="480"/>
        <v>0</v>
      </c>
      <c r="VPK49" s="108" t="s">
        <v>64</v>
      </c>
      <c r="VPX49" s="108">
        <f t="shared" si="481"/>
        <v>0</v>
      </c>
      <c r="VQQ49" s="108" t="s">
        <v>64</v>
      </c>
      <c r="VRD49" s="108">
        <f t="shared" si="482"/>
        <v>0</v>
      </c>
      <c r="VRW49" s="108" t="s">
        <v>64</v>
      </c>
      <c r="VSJ49" s="108">
        <f t="shared" si="483"/>
        <v>0</v>
      </c>
      <c r="VTC49" s="108" t="s">
        <v>64</v>
      </c>
      <c r="VTP49" s="108">
        <f t="shared" si="484"/>
        <v>0</v>
      </c>
      <c r="VUI49" s="108" t="s">
        <v>64</v>
      </c>
      <c r="VUV49" s="108">
        <f t="shared" si="485"/>
        <v>0</v>
      </c>
      <c r="VVO49" s="108" t="s">
        <v>64</v>
      </c>
      <c r="VWB49" s="108">
        <f t="shared" si="486"/>
        <v>0</v>
      </c>
      <c r="VWU49" s="108" t="s">
        <v>64</v>
      </c>
      <c r="VXH49" s="108">
        <f t="shared" si="487"/>
        <v>0</v>
      </c>
      <c r="VYA49" s="108" t="s">
        <v>64</v>
      </c>
      <c r="VYN49" s="108">
        <f t="shared" si="488"/>
        <v>0</v>
      </c>
      <c r="VZG49" s="108" t="s">
        <v>64</v>
      </c>
      <c r="VZT49" s="108">
        <f t="shared" si="489"/>
        <v>0</v>
      </c>
      <c r="WAM49" s="108" t="s">
        <v>64</v>
      </c>
      <c r="WAZ49" s="108">
        <f t="shared" si="490"/>
        <v>0</v>
      </c>
      <c r="WBS49" s="108" t="s">
        <v>64</v>
      </c>
      <c r="WCF49" s="108">
        <f t="shared" si="491"/>
        <v>0</v>
      </c>
      <c r="WCY49" s="108" t="s">
        <v>64</v>
      </c>
      <c r="WDL49" s="108">
        <f t="shared" si="492"/>
        <v>0</v>
      </c>
      <c r="WEE49" s="108" t="s">
        <v>64</v>
      </c>
      <c r="WER49" s="108">
        <f t="shared" si="493"/>
        <v>0</v>
      </c>
      <c r="WFK49" s="108" t="s">
        <v>64</v>
      </c>
      <c r="WFX49" s="108">
        <f t="shared" si="494"/>
        <v>0</v>
      </c>
      <c r="WGQ49" s="108" t="s">
        <v>64</v>
      </c>
      <c r="WHD49" s="108">
        <f t="shared" si="495"/>
        <v>0</v>
      </c>
      <c r="WHW49" s="108" t="s">
        <v>64</v>
      </c>
      <c r="WIJ49" s="108">
        <f t="shared" si="496"/>
        <v>0</v>
      </c>
      <c r="WJC49" s="108" t="s">
        <v>64</v>
      </c>
      <c r="WJP49" s="108">
        <f t="shared" si="497"/>
        <v>0</v>
      </c>
      <c r="WKI49" s="108" t="s">
        <v>64</v>
      </c>
      <c r="WKV49" s="108">
        <f t="shared" si="498"/>
        <v>0</v>
      </c>
      <c r="WLO49" s="108" t="s">
        <v>64</v>
      </c>
      <c r="WMB49" s="108">
        <f t="shared" si="499"/>
        <v>0</v>
      </c>
      <c r="WMU49" s="108" t="s">
        <v>64</v>
      </c>
      <c r="WNH49" s="108">
        <f t="shared" si="500"/>
        <v>0</v>
      </c>
      <c r="WOA49" s="108" t="s">
        <v>64</v>
      </c>
      <c r="WON49" s="108">
        <f t="shared" si="501"/>
        <v>0</v>
      </c>
      <c r="WPG49" s="108" t="s">
        <v>64</v>
      </c>
      <c r="WPT49" s="108">
        <f t="shared" si="502"/>
        <v>0</v>
      </c>
      <c r="WQM49" s="108" t="s">
        <v>64</v>
      </c>
      <c r="WQZ49" s="108">
        <f t="shared" si="503"/>
        <v>0</v>
      </c>
      <c r="WRS49" s="108" t="s">
        <v>64</v>
      </c>
      <c r="WSF49" s="108">
        <f t="shared" si="504"/>
        <v>0</v>
      </c>
      <c r="WSY49" s="108" t="s">
        <v>64</v>
      </c>
      <c r="WTL49" s="108">
        <f t="shared" si="505"/>
        <v>0</v>
      </c>
      <c r="WUE49" s="108" t="s">
        <v>64</v>
      </c>
      <c r="WUR49" s="108">
        <f t="shared" si="506"/>
        <v>0</v>
      </c>
      <c r="WVK49" s="108" t="s">
        <v>64</v>
      </c>
      <c r="WVX49" s="108">
        <f t="shared" si="507"/>
        <v>0</v>
      </c>
      <c r="WWQ49" s="108" t="s">
        <v>64</v>
      </c>
      <c r="WXD49" s="108">
        <f t="shared" si="508"/>
        <v>0</v>
      </c>
      <c r="WXW49" s="108" t="s">
        <v>64</v>
      </c>
      <c r="WYJ49" s="108">
        <f t="shared" si="509"/>
        <v>0</v>
      </c>
      <c r="WZC49" s="108" t="s">
        <v>64</v>
      </c>
      <c r="WZP49" s="108">
        <f t="shared" si="510"/>
        <v>0</v>
      </c>
      <c r="XAI49" s="108" t="s">
        <v>64</v>
      </c>
      <c r="XAV49" s="108">
        <f t="shared" si="511"/>
        <v>0</v>
      </c>
      <c r="XBO49" s="108" t="s">
        <v>64</v>
      </c>
      <c r="XCB49" s="108">
        <f t="shared" si="512"/>
        <v>0</v>
      </c>
      <c r="XCU49" s="108" t="s">
        <v>64</v>
      </c>
      <c r="XDH49" s="108">
        <f t="shared" si="513"/>
        <v>0</v>
      </c>
      <c r="XEA49" s="108" t="s">
        <v>64</v>
      </c>
      <c r="XEN49" s="108">
        <f t="shared" si="514"/>
        <v>0</v>
      </c>
    </row>
    <row r="50" spans="1:1008 1025:2032 2049:3056 3073:4080 4097:5104 5121:6128 6145:7152 7169:8176 8193:9200 9217:10224 10241:11248 11265:12272 12289:13296 13313:14320 14337:15344 15361:16368" ht="44.25" customHeight="1" x14ac:dyDescent="0.25">
      <c r="A50" s="380" t="s">
        <v>91</v>
      </c>
      <c r="B50" s="381">
        <v>0.02</v>
      </c>
      <c r="C50" s="102" t="s">
        <v>63</v>
      </c>
      <c r="D50" s="103">
        <v>0</v>
      </c>
      <c r="E50" s="103">
        <v>0</v>
      </c>
      <c r="F50" s="103">
        <v>0</v>
      </c>
      <c r="G50" s="103">
        <v>0</v>
      </c>
      <c r="H50" s="103">
        <v>0</v>
      </c>
      <c r="I50" s="103">
        <v>0</v>
      </c>
      <c r="J50" s="103">
        <v>0</v>
      </c>
      <c r="K50" s="103">
        <v>0</v>
      </c>
      <c r="L50" s="103">
        <v>0</v>
      </c>
      <c r="M50" s="103">
        <v>0</v>
      </c>
      <c r="N50" s="103">
        <v>0.3</v>
      </c>
      <c r="O50" s="103">
        <v>0.7</v>
      </c>
      <c r="P50" s="101">
        <f t="shared" si="3"/>
        <v>1</v>
      </c>
      <c r="Q50" s="390" t="s">
        <v>567</v>
      </c>
      <c r="R50" s="391"/>
      <c r="S50" s="391"/>
      <c r="T50" s="391"/>
      <c r="U50" s="391"/>
      <c r="V50" s="391"/>
      <c r="W50" s="391"/>
      <c r="X50" s="391"/>
      <c r="Y50" s="391"/>
      <c r="Z50" s="391"/>
      <c r="AA50" s="391"/>
      <c r="AB50" s="391"/>
      <c r="AC50" s="391"/>
      <c r="AD50" s="392"/>
      <c r="AE50" s="97"/>
      <c r="AG50" s="108" t="s">
        <v>90</v>
      </c>
      <c r="AI50" s="108" t="s">
        <v>63</v>
      </c>
      <c r="AV50" s="108">
        <f t="shared" ref="AV50:AV51" si="515">SUM(AJ50:AU50)</f>
        <v>0</v>
      </c>
      <c r="BM50" s="108" t="s">
        <v>90</v>
      </c>
      <c r="BO50" s="108" t="s">
        <v>63</v>
      </c>
      <c r="CB50" s="108">
        <f t="shared" ref="CB50:CB51" si="516">SUM(BP50:CA50)</f>
        <v>0</v>
      </c>
      <c r="CS50" s="108" t="s">
        <v>90</v>
      </c>
      <c r="CU50" s="108" t="s">
        <v>63</v>
      </c>
      <c r="DH50" s="108">
        <f t="shared" ref="DH50:DH51" si="517">SUM(CV50:DG50)</f>
        <v>0</v>
      </c>
      <c r="DY50" s="108" t="s">
        <v>90</v>
      </c>
      <c r="EA50" s="108" t="s">
        <v>63</v>
      </c>
      <c r="EN50" s="108">
        <f t="shared" ref="EN50:EN51" si="518">SUM(EB50:EM50)</f>
        <v>0</v>
      </c>
      <c r="FE50" s="108" t="s">
        <v>90</v>
      </c>
      <c r="FG50" s="108" t="s">
        <v>63</v>
      </c>
      <c r="FT50" s="108">
        <f t="shared" ref="FT50:FT51" si="519">SUM(FH50:FS50)</f>
        <v>0</v>
      </c>
      <c r="GK50" s="108" t="s">
        <v>90</v>
      </c>
      <c r="GM50" s="108" t="s">
        <v>63</v>
      </c>
      <c r="GZ50" s="108">
        <f t="shared" ref="GZ50:GZ51" si="520">SUM(GN50:GY50)</f>
        <v>0</v>
      </c>
      <c r="HQ50" s="108" t="s">
        <v>90</v>
      </c>
      <c r="HS50" s="108" t="s">
        <v>63</v>
      </c>
      <c r="IF50" s="108">
        <f t="shared" ref="IF50:IF51" si="521">SUM(HT50:IE50)</f>
        <v>0</v>
      </c>
      <c r="IW50" s="108" t="s">
        <v>90</v>
      </c>
      <c r="IY50" s="108" t="s">
        <v>63</v>
      </c>
      <c r="JL50" s="108">
        <f t="shared" ref="JL50:JL51" si="522">SUM(IZ50:JK50)</f>
        <v>0</v>
      </c>
      <c r="KC50" s="108" t="s">
        <v>90</v>
      </c>
      <c r="KE50" s="108" t="s">
        <v>63</v>
      </c>
      <c r="KR50" s="108">
        <f t="shared" ref="KR50:KR51" si="523">SUM(KF50:KQ50)</f>
        <v>0</v>
      </c>
      <c r="LI50" s="108" t="s">
        <v>90</v>
      </c>
      <c r="LK50" s="108" t="s">
        <v>63</v>
      </c>
      <c r="LX50" s="108">
        <f t="shared" ref="LX50:LX51" si="524">SUM(LL50:LW50)</f>
        <v>0</v>
      </c>
      <c r="MO50" s="108" t="s">
        <v>90</v>
      </c>
      <c r="MQ50" s="108" t="s">
        <v>63</v>
      </c>
      <c r="ND50" s="108">
        <f t="shared" ref="ND50:ND51" si="525">SUM(MR50:NC50)</f>
        <v>0</v>
      </c>
      <c r="NU50" s="108" t="s">
        <v>90</v>
      </c>
      <c r="NW50" s="108" t="s">
        <v>63</v>
      </c>
      <c r="OJ50" s="108">
        <f t="shared" ref="OJ50:OJ51" si="526">SUM(NX50:OI50)</f>
        <v>0</v>
      </c>
      <c r="PA50" s="108" t="s">
        <v>90</v>
      </c>
      <c r="PC50" s="108" t="s">
        <v>63</v>
      </c>
      <c r="PP50" s="108">
        <f t="shared" ref="PP50:PP51" si="527">SUM(PD50:PO50)</f>
        <v>0</v>
      </c>
      <c r="QG50" s="108" t="s">
        <v>90</v>
      </c>
      <c r="QI50" s="108" t="s">
        <v>63</v>
      </c>
      <c r="QV50" s="108">
        <f t="shared" ref="QV50:QV51" si="528">SUM(QJ50:QU50)</f>
        <v>0</v>
      </c>
      <c r="RM50" s="108" t="s">
        <v>90</v>
      </c>
      <c r="RO50" s="108" t="s">
        <v>63</v>
      </c>
      <c r="SB50" s="108">
        <f t="shared" ref="SB50:SB51" si="529">SUM(RP50:SA50)</f>
        <v>0</v>
      </c>
      <c r="SS50" s="108" t="s">
        <v>90</v>
      </c>
      <c r="SU50" s="108" t="s">
        <v>63</v>
      </c>
      <c r="TH50" s="108">
        <f t="shared" ref="TH50:TH51" si="530">SUM(SV50:TG50)</f>
        <v>0</v>
      </c>
      <c r="TY50" s="108" t="s">
        <v>90</v>
      </c>
      <c r="UA50" s="108" t="s">
        <v>63</v>
      </c>
      <c r="UN50" s="108">
        <f t="shared" ref="UN50:UN51" si="531">SUM(UB50:UM50)</f>
        <v>0</v>
      </c>
      <c r="VE50" s="108" t="s">
        <v>90</v>
      </c>
      <c r="VG50" s="108" t="s">
        <v>63</v>
      </c>
      <c r="VT50" s="108">
        <f t="shared" ref="VT50:VT51" si="532">SUM(VH50:VS50)</f>
        <v>0</v>
      </c>
      <c r="WK50" s="108" t="s">
        <v>90</v>
      </c>
      <c r="WM50" s="108" t="s">
        <v>63</v>
      </c>
      <c r="WZ50" s="108">
        <f t="shared" ref="WZ50:WZ51" si="533">SUM(WN50:WY50)</f>
        <v>0</v>
      </c>
      <c r="XQ50" s="108" t="s">
        <v>90</v>
      </c>
      <c r="XS50" s="108" t="s">
        <v>63</v>
      </c>
      <c r="YF50" s="108">
        <f t="shared" ref="YF50:YF51" si="534">SUM(XT50:YE50)</f>
        <v>0</v>
      </c>
      <c r="YW50" s="108" t="s">
        <v>90</v>
      </c>
      <c r="YY50" s="108" t="s">
        <v>63</v>
      </c>
      <c r="ZL50" s="108">
        <f t="shared" ref="ZL50:ZL51" si="535">SUM(YZ50:ZK50)</f>
        <v>0</v>
      </c>
      <c r="AAC50" s="108" t="s">
        <v>90</v>
      </c>
      <c r="AAE50" s="108" t="s">
        <v>63</v>
      </c>
      <c r="AAR50" s="108">
        <f t="shared" ref="AAR50:AAR51" si="536">SUM(AAF50:AAQ50)</f>
        <v>0</v>
      </c>
      <c r="ABI50" s="108" t="s">
        <v>90</v>
      </c>
      <c r="ABK50" s="108" t="s">
        <v>63</v>
      </c>
      <c r="ABX50" s="108">
        <f t="shared" ref="ABX50:ABX51" si="537">SUM(ABL50:ABW50)</f>
        <v>0</v>
      </c>
      <c r="ACO50" s="108" t="s">
        <v>90</v>
      </c>
      <c r="ACQ50" s="108" t="s">
        <v>63</v>
      </c>
      <c r="ADD50" s="108">
        <f t="shared" ref="ADD50:ADD51" si="538">SUM(ACR50:ADC50)</f>
        <v>0</v>
      </c>
      <c r="ADU50" s="108" t="s">
        <v>90</v>
      </c>
      <c r="ADW50" s="108" t="s">
        <v>63</v>
      </c>
      <c r="AEJ50" s="108">
        <f t="shared" ref="AEJ50:AEJ51" si="539">SUM(ADX50:AEI50)</f>
        <v>0</v>
      </c>
      <c r="AFA50" s="108" t="s">
        <v>90</v>
      </c>
      <c r="AFC50" s="108" t="s">
        <v>63</v>
      </c>
      <c r="AFP50" s="108">
        <f t="shared" ref="AFP50:AFP51" si="540">SUM(AFD50:AFO50)</f>
        <v>0</v>
      </c>
      <c r="AGG50" s="108" t="s">
        <v>90</v>
      </c>
      <c r="AGI50" s="108" t="s">
        <v>63</v>
      </c>
      <c r="AGV50" s="108">
        <f t="shared" ref="AGV50:AGV51" si="541">SUM(AGJ50:AGU50)</f>
        <v>0</v>
      </c>
      <c r="AHM50" s="108" t="s">
        <v>90</v>
      </c>
      <c r="AHO50" s="108" t="s">
        <v>63</v>
      </c>
      <c r="AIB50" s="108">
        <f t="shared" ref="AIB50:AIB51" si="542">SUM(AHP50:AIA50)</f>
        <v>0</v>
      </c>
      <c r="AIS50" s="108" t="s">
        <v>90</v>
      </c>
      <c r="AIU50" s="108" t="s">
        <v>63</v>
      </c>
      <c r="AJH50" s="108">
        <f t="shared" ref="AJH50:AJH51" si="543">SUM(AIV50:AJG50)</f>
        <v>0</v>
      </c>
      <c r="AJY50" s="108" t="s">
        <v>90</v>
      </c>
      <c r="AKA50" s="108" t="s">
        <v>63</v>
      </c>
      <c r="AKN50" s="108">
        <f t="shared" ref="AKN50:AKN51" si="544">SUM(AKB50:AKM50)</f>
        <v>0</v>
      </c>
      <c r="ALE50" s="108" t="s">
        <v>90</v>
      </c>
      <c r="ALG50" s="108" t="s">
        <v>63</v>
      </c>
      <c r="ALT50" s="108">
        <f t="shared" ref="ALT50:ALT51" si="545">SUM(ALH50:ALS50)</f>
        <v>0</v>
      </c>
      <c r="AMK50" s="108" t="s">
        <v>90</v>
      </c>
      <c r="AMM50" s="108" t="s">
        <v>63</v>
      </c>
      <c r="AMZ50" s="108">
        <f t="shared" ref="AMZ50:AMZ51" si="546">SUM(AMN50:AMY50)</f>
        <v>0</v>
      </c>
      <c r="ANQ50" s="108" t="s">
        <v>90</v>
      </c>
      <c r="ANS50" s="108" t="s">
        <v>63</v>
      </c>
      <c r="AOF50" s="108">
        <f t="shared" ref="AOF50:AOF51" si="547">SUM(ANT50:AOE50)</f>
        <v>0</v>
      </c>
      <c r="AOW50" s="108" t="s">
        <v>90</v>
      </c>
      <c r="AOY50" s="108" t="s">
        <v>63</v>
      </c>
      <c r="APL50" s="108">
        <f t="shared" ref="APL50:APL51" si="548">SUM(AOZ50:APK50)</f>
        <v>0</v>
      </c>
      <c r="AQC50" s="108" t="s">
        <v>90</v>
      </c>
      <c r="AQE50" s="108" t="s">
        <v>63</v>
      </c>
      <c r="AQR50" s="108">
        <f t="shared" ref="AQR50:AQR51" si="549">SUM(AQF50:AQQ50)</f>
        <v>0</v>
      </c>
      <c r="ARI50" s="108" t="s">
        <v>90</v>
      </c>
      <c r="ARK50" s="108" t="s">
        <v>63</v>
      </c>
      <c r="ARX50" s="108">
        <f t="shared" ref="ARX50:ARX51" si="550">SUM(ARL50:ARW50)</f>
        <v>0</v>
      </c>
      <c r="ASO50" s="108" t="s">
        <v>90</v>
      </c>
      <c r="ASQ50" s="108" t="s">
        <v>63</v>
      </c>
      <c r="ATD50" s="108">
        <f t="shared" ref="ATD50:ATD51" si="551">SUM(ASR50:ATC50)</f>
        <v>0</v>
      </c>
      <c r="ATU50" s="108" t="s">
        <v>90</v>
      </c>
      <c r="ATW50" s="108" t="s">
        <v>63</v>
      </c>
      <c r="AUJ50" s="108">
        <f t="shared" ref="AUJ50:AUJ51" si="552">SUM(ATX50:AUI50)</f>
        <v>0</v>
      </c>
      <c r="AVA50" s="108" t="s">
        <v>90</v>
      </c>
      <c r="AVC50" s="108" t="s">
        <v>63</v>
      </c>
      <c r="AVP50" s="108">
        <f t="shared" ref="AVP50:AVP51" si="553">SUM(AVD50:AVO50)</f>
        <v>0</v>
      </c>
      <c r="AWG50" s="108" t="s">
        <v>90</v>
      </c>
      <c r="AWI50" s="108" t="s">
        <v>63</v>
      </c>
      <c r="AWV50" s="108">
        <f t="shared" ref="AWV50:AWV51" si="554">SUM(AWJ50:AWU50)</f>
        <v>0</v>
      </c>
      <c r="AXM50" s="108" t="s">
        <v>90</v>
      </c>
      <c r="AXO50" s="108" t="s">
        <v>63</v>
      </c>
      <c r="AYB50" s="108">
        <f t="shared" ref="AYB50:AYB51" si="555">SUM(AXP50:AYA50)</f>
        <v>0</v>
      </c>
      <c r="AYS50" s="108" t="s">
        <v>90</v>
      </c>
      <c r="AYU50" s="108" t="s">
        <v>63</v>
      </c>
      <c r="AZH50" s="108">
        <f t="shared" ref="AZH50:AZH51" si="556">SUM(AYV50:AZG50)</f>
        <v>0</v>
      </c>
      <c r="AZY50" s="108" t="s">
        <v>90</v>
      </c>
      <c r="BAA50" s="108" t="s">
        <v>63</v>
      </c>
      <c r="BAN50" s="108">
        <f t="shared" ref="BAN50:BAN51" si="557">SUM(BAB50:BAM50)</f>
        <v>0</v>
      </c>
      <c r="BBE50" s="108" t="s">
        <v>90</v>
      </c>
      <c r="BBG50" s="108" t="s">
        <v>63</v>
      </c>
      <c r="BBT50" s="108">
        <f t="shared" ref="BBT50:BBT51" si="558">SUM(BBH50:BBS50)</f>
        <v>0</v>
      </c>
      <c r="BCK50" s="108" t="s">
        <v>90</v>
      </c>
      <c r="BCM50" s="108" t="s">
        <v>63</v>
      </c>
      <c r="BCZ50" s="108">
        <f t="shared" ref="BCZ50:BCZ51" si="559">SUM(BCN50:BCY50)</f>
        <v>0</v>
      </c>
      <c r="BDQ50" s="108" t="s">
        <v>90</v>
      </c>
      <c r="BDS50" s="108" t="s">
        <v>63</v>
      </c>
      <c r="BEF50" s="108">
        <f t="shared" ref="BEF50:BEF51" si="560">SUM(BDT50:BEE50)</f>
        <v>0</v>
      </c>
      <c r="BEW50" s="108" t="s">
        <v>90</v>
      </c>
      <c r="BEY50" s="108" t="s">
        <v>63</v>
      </c>
      <c r="BFL50" s="108">
        <f t="shared" ref="BFL50:BFL51" si="561">SUM(BEZ50:BFK50)</f>
        <v>0</v>
      </c>
      <c r="BGC50" s="108" t="s">
        <v>90</v>
      </c>
      <c r="BGE50" s="108" t="s">
        <v>63</v>
      </c>
      <c r="BGR50" s="108">
        <f t="shared" ref="BGR50:BGR51" si="562">SUM(BGF50:BGQ50)</f>
        <v>0</v>
      </c>
      <c r="BHI50" s="108" t="s">
        <v>90</v>
      </c>
      <c r="BHK50" s="108" t="s">
        <v>63</v>
      </c>
      <c r="BHX50" s="108">
        <f t="shared" ref="BHX50:BHX51" si="563">SUM(BHL50:BHW50)</f>
        <v>0</v>
      </c>
      <c r="BIO50" s="108" t="s">
        <v>90</v>
      </c>
      <c r="BIQ50" s="108" t="s">
        <v>63</v>
      </c>
      <c r="BJD50" s="108">
        <f t="shared" ref="BJD50:BJD51" si="564">SUM(BIR50:BJC50)</f>
        <v>0</v>
      </c>
      <c r="BJU50" s="108" t="s">
        <v>90</v>
      </c>
      <c r="BJW50" s="108" t="s">
        <v>63</v>
      </c>
      <c r="BKJ50" s="108">
        <f t="shared" ref="BKJ50:BKJ51" si="565">SUM(BJX50:BKI50)</f>
        <v>0</v>
      </c>
      <c r="BLA50" s="108" t="s">
        <v>90</v>
      </c>
      <c r="BLC50" s="108" t="s">
        <v>63</v>
      </c>
      <c r="BLP50" s="108">
        <f t="shared" ref="BLP50:BLP51" si="566">SUM(BLD50:BLO50)</f>
        <v>0</v>
      </c>
      <c r="BMG50" s="108" t="s">
        <v>90</v>
      </c>
      <c r="BMI50" s="108" t="s">
        <v>63</v>
      </c>
      <c r="BMV50" s="108">
        <f t="shared" ref="BMV50:BMV51" si="567">SUM(BMJ50:BMU50)</f>
        <v>0</v>
      </c>
      <c r="BNM50" s="108" t="s">
        <v>90</v>
      </c>
      <c r="BNO50" s="108" t="s">
        <v>63</v>
      </c>
      <c r="BOB50" s="108">
        <f t="shared" ref="BOB50:BOB51" si="568">SUM(BNP50:BOA50)</f>
        <v>0</v>
      </c>
      <c r="BOS50" s="108" t="s">
        <v>90</v>
      </c>
      <c r="BOU50" s="108" t="s">
        <v>63</v>
      </c>
      <c r="BPH50" s="108">
        <f t="shared" ref="BPH50:BPH51" si="569">SUM(BOV50:BPG50)</f>
        <v>0</v>
      </c>
      <c r="BPY50" s="108" t="s">
        <v>90</v>
      </c>
      <c r="BQA50" s="108" t="s">
        <v>63</v>
      </c>
      <c r="BQN50" s="108">
        <f t="shared" ref="BQN50:BQN51" si="570">SUM(BQB50:BQM50)</f>
        <v>0</v>
      </c>
      <c r="BRE50" s="108" t="s">
        <v>90</v>
      </c>
      <c r="BRG50" s="108" t="s">
        <v>63</v>
      </c>
      <c r="BRT50" s="108">
        <f t="shared" ref="BRT50:BRT51" si="571">SUM(BRH50:BRS50)</f>
        <v>0</v>
      </c>
      <c r="BSK50" s="108" t="s">
        <v>90</v>
      </c>
      <c r="BSM50" s="108" t="s">
        <v>63</v>
      </c>
      <c r="BSZ50" s="108">
        <f t="shared" ref="BSZ50:BSZ51" si="572">SUM(BSN50:BSY50)</f>
        <v>0</v>
      </c>
      <c r="BTQ50" s="108" t="s">
        <v>90</v>
      </c>
      <c r="BTS50" s="108" t="s">
        <v>63</v>
      </c>
      <c r="BUF50" s="108">
        <f t="shared" ref="BUF50:BUF51" si="573">SUM(BTT50:BUE50)</f>
        <v>0</v>
      </c>
      <c r="BUW50" s="108" t="s">
        <v>90</v>
      </c>
      <c r="BUY50" s="108" t="s">
        <v>63</v>
      </c>
      <c r="BVL50" s="108">
        <f t="shared" ref="BVL50:BVL51" si="574">SUM(BUZ50:BVK50)</f>
        <v>0</v>
      </c>
      <c r="BWC50" s="108" t="s">
        <v>90</v>
      </c>
      <c r="BWE50" s="108" t="s">
        <v>63</v>
      </c>
      <c r="BWR50" s="108">
        <f t="shared" ref="BWR50:BWR51" si="575">SUM(BWF50:BWQ50)</f>
        <v>0</v>
      </c>
      <c r="BXI50" s="108" t="s">
        <v>90</v>
      </c>
      <c r="BXK50" s="108" t="s">
        <v>63</v>
      </c>
      <c r="BXX50" s="108">
        <f t="shared" ref="BXX50:BXX51" si="576">SUM(BXL50:BXW50)</f>
        <v>0</v>
      </c>
      <c r="BYO50" s="108" t="s">
        <v>90</v>
      </c>
      <c r="BYQ50" s="108" t="s">
        <v>63</v>
      </c>
      <c r="BZD50" s="108">
        <f t="shared" ref="BZD50:BZD51" si="577">SUM(BYR50:BZC50)</f>
        <v>0</v>
      </c>
      <c r="BZU50" s="108" t="s">
        <v>90</v>
      </c>
      <c r="BZW50" s="108" t="s">
        <v>63</v>
      </c>
      <c r="CAJ50" s="108">
        <f t="shared" ref="CAJ50:CAJ51" si="578">SUM(BZX50:CAI50)</f>
        <v>0</v>
      </c>
      <c r="CBA50" s="108" t="s">
        <v>90</v>
      </c>
      <c r="CBC50" s="108" t="s">
        <v>63</v>
      </c>
      <c r="CBP50" s="108">
        <f t="shared" ref="CBP50:CBP51" si="579">SUM(CBD50:CBO50)</f>
        <v>0</v>
      </c>
      <c r="CCG50" s="108" t="s">
        <v>90</v>
      </c>
      <c r="CCI50" s="108" t="s">
        <v>63</v>
      </c>
      <c r="CCV50" s="108">
        <f t="shared" ref="CCV50:CCV51" si="580">SUM(CCJ50:CCU50)</f>
        <v>0</v>
      </c>
      <c r="CDM50" s="108" t="s">
        <v>90</v>
      </c>
      <c r="CDO50" s="108" t="s">
        <v>63</v>
      </c>
      <c r="CEB50" s="108">
        <f t="shared" ref="CEB50:CEB51" si="581">SUM(CDP50:CEA50)</f>
        <v>0</v>
      </c>
      <c r="CES50" s="108" t="s">
        <v>90</v>
      </c>
      <c r="CEU50" s="108" t="s">
        <v>63</v>
      </c>
      <c r="CFH50" s="108">
        <f t="shared" ref="CFH50:CFH51" si="582">SUM(CEV50:CFG50)</f>
        <v>0</v>
      </c>
      <c r="CFY50" s="108" t="s">
        <v>90</v>
      </c>
      <c r="CGA50" s="108" t="s">
        <v>63</v>
      </c>
      <c r="CGN50" s="108">
        <f t="shared" ref="CGN50:CGN51" si="583">SUM(CGB50:CGM50)</f>
        <v>0</v>
      </c>
      <c r="CHE50" s="108" t="s">
        <v>90</v>
      </c>
      <c r="CHG50" s="108" t="s">
        <v>63</v>
      </c>
      <c r="CHT50" s="108">
        <f t="shared" ref="CHT50:CHT51" si="584">SUM(CHH50:CHS50)</f>
        <v>0</v>
      </c>
      <c r="CIK50" s="108" t="s">
        <v>90</v>
      </c>
      <c r="CIM50" s="108" t="s">
        <v>63</v>
      </c>
      <c r="CIZ50" s="108">
        <f t="shared" ref="CIZ50:CIZ51" si="585">SUM(CIN50:CIY50)</f>
        <v>0</v>
      </c>
      <c r="CJQ50" s="108" t="s">
        <v>90</v>
      </c>
      <c r="CJS50" s="108" t="s">
        <v>63</v>
      </c>
      <c r="CKF50" s="108">
        <f t="shared" ref="CKF50:CKF51" si="586">SUM(CJT50:CKE50)</f>
        <v>0</v>
      </c>
      <c r="CKW50" s="108" t="s">
        <v>90</v>
      </c>
      <c r="CKY50" s="108" t="s">
        <v>63</v>
      </c>
      <c r="CLL50" s="108">
        <f t="shared" ref="CLL50:CLL51" si="587">SUM(CKZ50:CLK50)</f>
        <v>0</v>
      </c>
      <c r="CMC50" s="108" t="s">
        <v>90</v>
      </c>
      <c r="CME50" s="108" t="s">
        <v>63</v>
      </c>
      <c r="CMR50" s="108">
        <f t="shared" ref="CMR50:CMR51" si="588">SUM(CMF50:CMQ50)</f>
        <v>0</v>
      </c>
      <c r="CNI50" s="108" t="s">
        <v>90</v>
      </c>
      <c r="CNK50" s="108" t="s">
        <v>63</v>
      </c>
      <c r="CNX50" s="108">
        <f t="shared" ref="CNX50:CNX51" si="589">SUM(CNL50:CNW50)</f>
        <v>0</v>
      </c>
      <c r="COO50" s="108" t="s">
        <v>90</v>
      </c>
      <c r="COQ50" s="108" t="s">
        <v>63</v>
      </c>
      <c r="CPD50" s="108">
        <f t="shared" ref="CPD50:CPD51" si="590">SUM(COR50:CPC50)</f>
        <v>0</v>
      </c>
      <c r="CPU50" s="108" t="s">
        <v>90</v>
      </c>
      <c r="CPW50" s="108" t="s">
        <v>63</v>
      </c>
      <c r="CQJ50" s="108">
        <f t="shared" ref="CQJ50:CQJ51" si="591">SUM(CPX50:CQI50)</f>
        <v>0</v>
      </c>
      <c r="CRA50" s="108" t="s">
        <v>90</v>
      </c>
      <c r="CRC50" s="108" t="s">
        <v>63</v>
      </c>
      <c r="CRP50" s="108">
        <f t="shared" ref="CRP50:CRP51" si="592">SUM(CRD50:CRO50)</f>
        <v>0</v>
      </c>
      <c r="CSG50" s="108" t="s">
        <v>90</v>
      </c>
      <c r="CSI50" s="108" t="s">
        <v>63</v>
      </c>
      <c r="CSV50" s="108">
        <f t="shared" ref="CSV50:CSV51" si="593">SUM(CSJ50:CSU50)</f>
        <v>0</v>
      </c>
      <c r="CTM50" s="108" t="s">
        <v>90</v>
      </c>
      <c r="CTO50" s="108" t="s">
        <v>63</v>
      </c>
      <c r="CUB50" s="108">
        <f t="shared" ref="CUB50:CUB51" si="594">SUM(CTP50:CUA50)</f>
        <v>0</v>
      </c>
      <c r="CUS50" s="108" t="s">
        <v>90</v>
      </c>
      <c r="CUU50" s="108" t="s">
        <v>63</v>
      </c>
      <c r="CVH50" s="108">
        <f t="shared" ref="CVH50:CVH51" si="595">SUM(CUV50:CVG50)</f>
        <v>0</v>
      </c>
      <c r="CVY50" s="108" t="s">
        <v>90</v>
      </c>
      <c r="CWA50" s="108" t="s">
        <v>63</v>
      </c>
      <c r="CWN50" s="108">
        <f t="shared" ref="CWN50:CWN51" si="596">SUM(CWB50:CWM50)</f>
        <v>0</v>
      </c>
      <c r="CXE50" s="108" t="s">
        <v>90</v>
      </c>
      <c r="CXG50" s="108" t="s">
        <v>63</v>
      </c>
      <c r="CXT50" s="108">
        <f t="shared" ref="CXT50:CXT51" si="597">SUM(CXH50:CXS50)</f>
        <v>0</v>
      </c>
      <c r="CYK50" s="108" t="s">
        <v>90</v>
      </c>
      <c r="CYM50" s="108" t="s">
        <v>63</v>
      </c>
      <c r="CYZ50" s="108">
        <f t="shared" ref="CYZ50:CYZ51" si="598">SUM(CYN50:CYY50)</f>
        <v>0</v>
      </c>
      <c r="CZQ50" s="108" t="s">
        <v>90</v>
      </c>
      <c r="CZS50" s="108" t="s">
        <v>63</v>
      </c>
      <c r="DAF50" s="108">
        <f t="shared" ref="DAF50:DAF51" si="599">SUM(CZT50:DAE50)</f>
        <v>0</v>
      </c>
      <c r="DAW50" s="108" t="s">
        <v>90</v>
      </c>
      <c r="DAY50" s="108" t="s">
        <v>63</v>
      </c>
      <c r="DBL50" s="108">
        <f t="shared" ref="DBL50:DBL51" si="600">SUM(DAZ50:DBK50)</f>
        <v>0</v>
      </c>
      <c r="DCC50" s="108" t="s">
        <v>90</v>
      </c>
      <c r="DCE50" s="108" t="s">
        <v>63</v>
      </c>
      <c r="DCR50" s="108">
        <f t="shared" ref="DCR50:DCR51" si="601">SUM(DCF50:DCQ50)</f>
        <v>0</v>
      </c>
      <c r="DDI50" s="108" t="s">
        <v>90</v>
      </c>
      <c r="DDK50" s="108" t="s">
        <v>63</v>
      </c>
      <c r="DDX50" s="108">
        <f t="shared" ref="DDX50:DDX51" si="602">SUM(DDL50:DDW50)</f>
        <v>0</v>
      </c>
      <c r="DEO50" s="108" t="s">
        <v>90</v>
      </c>
      <c r="DEQ50" s="108" t="s">
        <v>63</v>
      </c>
      <c r="DFD50" s="108">
        <f t="shared" ref="DFD50:DFD51" si="603">SUM(DER50:DFC50)</f>
        <v>0</v>
      </c>
      <c r="DFU50" s="108" t="s">
        <v>90</v>
      </c>
      <c r="DFW50" s="108" t="s">
        <v>63</v>
      </c>
      <c r="DGJ50" s="108">
        <f t="shared" ref="DGJ50:DGJ51" si="604">SUM(DFX50:DGI50)</f>
        <v>0</v>
      </c>
      <c r="DHA50" s="108" t="s">
        <v>90</v>
      </c>
      <c r="DHC50" s="108" t="s">
        <v>63</v>
      </c>
      <c r="DHP50" s="108">
        <f t="shared" ref="DHP50:DHP51" si="605">SUM(DHD50:DHO50)</f>
        <v>0</v>
      </c>
      <c r="DIG50" s="108" t="s">
        <v>90</v>
      </c>
      <c r="DII50" s="108" t="s">
        <v>63</v>
      </c>
      <c r="DIV50" s="108">
        <f t="shared" ref="DIV50:DIV51" si="606">SUM(DIJ50:DIU50)</f>
        <v>0</v>
      </c>
      <c r="DJM50" s="108" t="s">
        <v>90</v>
      </c>
      <c r="DJO50" s="108" t="s">
        <v>63</v>
      </c>
      <c r="DKB50" s="108">
        <f t="shared" ref="DKB50:DKB51" si="607">SUM(DJP50:DKA50)</f>
        <v>0</v>
      </c>
      <c r="DKS50" s="108" t="s">
        <v>90</v>
      </c>
      <c r="DKU50" s="108" t="s">
        <v>63</v>
      </c>
      <c r="DLH50" s="108">
        <f t="shared" ref="DLH50:DLH51" si="608">SUM(DKV50:DLG50)</f>
        <v>0</v>
      </c>
      <c r="DLY50" s="108" t="s">
        <v>90</v>
      </c>
      <c r="DMA50" s="108" t="s">
        <v>63</v>
      </c>
      <c r="DMN50" s="108">
        <f t="shared" ref="DMN50:DMN51" si="609">SUM(DMB50:DMM50)</f>
        <v>0</v>
      </c>
      <c r="DNE50" s="108" t="s">
        <v>90</v>
      </c>
      <c r="DNG50" s="108" t="s">
        <v>63</v>
      </c>
      <c r="DNT50" s="108">
        <f t="shared" ref="DNT50:DNT51" si="610">SUM(DNH50:DNS50)</f>
        <v>0</v>
      </c>
      <c r="DOK50" s="108" t="s">
        <v>90</v>
      </c>
      <c r="DOM50" s="108" t="s">
        <v>63</v>
      </c>
      <c r="DOZ50" s="108">
        <f t="shared" ref="DOZ50:DOZ51" si="611">SUM(DON50:DOY50)</f>
        <v>0</v>
      </c>
      <c r="DPQ50" s="108" t="s">
        <v>90</v>
      </c>
      <c r="DPS50" s="108" t="s">
        <v>63</v>
      </c>
      <c r="DQF50" s="108">
        <f t="shared" ref="DQF50:DQF51" si="612">SUM(DPT50:DQE50)</f>
        <v>0</v>
      </c>
      <c r="DQW50" s="108" t="s">
        <v>90</v>
      </c>
      <c r="DQY50" s="108" t="s">
        <v>63</v>
      </c>
      <c r="DRL50" s="108">
        <f t="shared" ref="DRL50:DRL51" si="613">SUM(DQZ50:DRK50)</f>
        <v>0</v>
      </c>
      <c r="DSC50" s="108" t="s">
        <v>90</v>
      </c>
      <c r="DSE50" s="108" t="s">
        <v>63</v>
      </c>
      <c r="DSR50" s="108">
        <f t="shared" ref="DSR50:DSR51" si="614">SUM(DSF50:DSQ50)</f>
        <v>0</v>
      </c>
      <c r="DTI50" s="108" t="s">
        <v>90</v>
      </c>
      <c r="DTK50" s="108" t="s">
        <v>63</v>
      </c>
      <c r="DTX50" s="108">
        <f t="shared" ref="DTX50:DTX51" si="615">SUM(DTL50:DTW50)</f>
        <v>0</v>
      </c>
      <c r="DUO50" s="108" t="s">
        <v>90</v>
      </c>
      <c r="DUQ50" s="108" t="s">
        <v>63</v>
      </c>
      <c r="DVD50" s="108">
        <f t="shared" ref="DVD50:DVD51" si="616">SUM(DUR50:DVC50)</f>
        <v>0</v>
      </c>
      <c r="DVU50" s="108" t="s">
        <v>90</v>
      </c>
      <c r="DVW50" s="108" t="s">
        <v>63</v>
      </c>
      <c r="DWJ50" s="108">
        <f t="shared" ref="DWJ50:DWJ51" si="617">SUM(DVX50:DWI50)</f>
        <v>0</v>
      </c>
      <c r="DXA50" s="108" t="s">
        <v>90</v>
      </c>
      <c r="DXC50" s="108" t="s">
        <v>63</v>
      </c>
      <c r="DXP50" s="108">
        <f t="shared" ref="DXP50:DXP51" si="618">SUM(DXD50:DXO50)</f>
        <v>0</v>
      </c>
      <c r="DYG50" s="108" t="s">
        <v>90</v>
      </c>
      <c r="DYI50" s="108" t="s">
        <v>63</v>
      </c>
      <c r="DYV50" s="108">
        <f t="shared" ref="DYV50:DYV51" si="619">SUM(DYJ50:DYU50)</f>
        <v>0</v>
      </c>
      <c r="DZM50" s="108" t="s">
        <v>90</v>
      </c>
      <c r="DZO50" s="108" t="s">
        <v>63</v>
      </c>
      <c r="EAB50" s="108">
        <f t="shared" ref="EAB50:EAB51" si="620">SUM(DZP50:EAA50)</f>
        <v>0</v>
      </c>
      <c r="EAS50" s="108" t="s">
        <v>90</v>
      </c>
      <c r="EAU50" s="108" t="s">
        <v>63</v>
      </c>
      <c r="EBH50" s="108">
        <f t="shared" ref="EBH50:EBH51" si="621">SUM(EAV50:EBG50)</f>
        <v>0</v>
      </c>
      <c r="EBY50" s="108" t="s">
        <v>90</v>
      </c>
      <c r="ECA50" s="108" t="s">
        <v>63</v>
      </c>
      <c r="ECN50" s="108">
        <f t="shared" ref="ECN50:ECN51" si="622">SUM(ECB50:ECM50)</f>
        <v>0</v>
      </c>
      <c r="EDE50" s="108" t="s">
        <v>90</v>
      </c>
      <c r="EDG50" s="108" t="s">
        <v>63</v>
      </c>
      <c r="EDT50" s="108">
        <f t="shared" ref="EDT50:EDT51" si="623">SUM(EDH50:EDS50)</f>
        <v>0</v>
      </c>
      <c r="EEK50" s="108" t="s">
        <v>90</v>
      </c>
      <c r="EEM50" s="108" t="s">
        <v>63</v>
      </c>
      <c r="EEZ50" s="108">
        <f t="shared" ref="EEZ50:EEZ51" si="624">SUM(EEN50:EEY50)</f>
        <v>0</v>
      </c>
      <c r="EFQ50" s="108" t="s">
        <v>90</v>
      </c>
      <c r="EFS50" s="108" t="s">
        <v>63</v>
      </c>
      <c r="EGF50" s="108">
        <f t="shared" ref="EGF50:EGF51" si="625">SUM(EFT50:EGE50)</f>
        <v>0</v>
      </c>
      <c r="EGW50" s="108" t="s">
        <v>90</v>
      </c>
      <c r="EGY50" s="108" t="s">
        <v>63</v>
      </c>
      <c r="EHL50" s="108">
        <f t="shared" ref="EHL50:EHL51" si="626">SUM(EGZ50:EHK50)</f>
        <v>0</v>
      </c>
      <c r="EIC50" s="108" t="s">
        <v>90</v>
      </c>
      <c r="EIE50" s="108" t="s">
        <v>63</v>
      </c>
      <c r="EIR50" s="108">
        <f t="shared" ref="EIR50:EIR51" si="627">SUM(EIF50:EIQ50)</f>
        <v>0</v>
      </c>
      <c r="EJI50" s="108" t="s">
        <v>90</v>
      </c>
      <c r="EJK50" s="108" t="s">
        <v>63</v>
      </c>
      <c r="EJX50" s="108">
        <f t="shared" ref="EJX50:EJX51" si="628">SUM(EJL50:EJW50)</f>
        <v>0</v>
      </c>
      <c r="EKO50" s="108" t="s">
        <v>90</v>
      </c>
      <c r="EKQ50" s="108" t="s">
        <v>63</v>
      </c>
      <c r="ELD50" s="108">
        <f t="shared" ref="ELD50:ELD51" si="629">SUM(EKR50:ELC50)</f>
        <v>0</v>
      </c>
      <c r="ELU50" s="108" t="s">
        <v>90</v>
      </c>
      <c r="ELW50" s="108" t="s">
        <v>63</v>
      </c>
      <c r="EMJ50" s="108">
        <f t="shared" ref="EMJ50:EMJ51" si="630">SUM(ELX50:EMI50)</f>
        <v>0</v>
      </c>
      <c r="ENA50" s="108" t="s">
        <v>90</v>
      </c>
      <c r="ENC50" s="108" t="s">
        <v>63</v>
      </c>
      <c r="ENP50" s="108">
        <f t="shared" ref="ENP50:ENP51" si="631">SUM(END50:ENO50)</f>
        <v>0</v>
      </c>
      <c r="EOG50" s="108" t="s">
        <v>90</v>
      </c>
      <c r="EOI50" s="108" t="s">
        <v>63</v>
      </c>
      <c r="EOV50" s="108">
        <f t="shared" ref="EOV50:EOV51" si="632">SUM(EOJ50:EOU50)</f>
        <v>0</v>
      </c>
      <c r="EPM50" s="108" t="s">
        <v>90</v>
      </c>
      <c r="EPO50" s="108" t="s">
        <v>63</v>
      </c>
      <c r="EQB50" s="108">
        <f t="shared" ref="EQB50:EQB51" si="633">SUM(EPP50:EQA50)</f>
        <v>0</v>
      </c>
      <c r="EQS50" s="108" t="s">
        <v>90</v>
      </c>
      <c r="EQU50" s="108" t="s">
        <v>63</v>
      </c>
      <c r="ERH50" s="108">
        <f t="shared" ref="ERH50:ERH51" si="634">SUM(EQV50:ERG50)</f>
        <v>0</v>
      </c>
      <c r="ERY50" s="108" t="s">
        <v>90</v>
      </c>
      <c r="ESA50" s="108" t="s">
        <v>63</v>
      </c>
      <c r="ESN50" s="108">
        <f t="shared" ref="ESN50:ESN51" si="635">SUM(ESB50:ESM50)</f>
        <v>0</v>
      </c>
      <c r="ETE50" s="108" t="s">
        <v>90</v>
      </c>
      <c r="ETG50" s="108" t="s">
        <v>63</v>
      </c>
      <c r="ETT50" s="108">
        <f t="shared" ref="ETT50:ETT51" si="636">SUM(ETH50:ETS50)</f>
        <v>0</v>
      </c>
      <c r="EUK50" s="108" t="s">
        <v>90</v>
      </c>
      <c r="EUM50" s="108" t="s">
        <v>63</v>
      </c>
      <c r="EUZ50" s="108">
        <f t="shared" ref="EUZ50:EUZ51" si="637">SUM(EUN50:EUY50)</f>
        <v>0</v>
      </c>
      <c r="EVQ50" s="108" t="s">
        <v>90</v>
      </c>
      <c r="EVS50" s="108" t="s">
        <v>63</v>
      </c>
      <c r="EWF50" s="108">
        <f t="shared" ref="EWF50:EWF51" si="638">SUM(EVT50:EWE50)</f>
        <v>0</v>
      </c>
      <c r="EWW50" s="108" t="s">
        <v>90</v>
      </c>
      <c r="EWY50" s="108" t="s">
        <v>63</v>
      </c>
      <c r="EXL50" s="108">
        <f t="shared" ref="EXL50:EXL51" si="639">SUM(EWZ50:EXK50)</f>
        <v>0</v>
      </c>
      <c r="EYC50" s="108" t="s">
        <v>90</v>
      </c>
      <c r="EYE50" s="108" t="s">
        <v>63</v>
      </c>
      <c r="EYR50" s="108">
        <f t="shared" ref="EYR50:EYR51" si="640">SUM(EYF50:EYQ50)</f>
        <v>0</v>
      </c>
      <c r="EZI50" s="108" t="s">
        <v>90</v>
      </c>
      <c r="EZK50" s="108" t="s">
        <v>63</v>
      </c>
      <c r="EZX50" s="108">
        <f t="shared" ref="EZX50:EZX51" si="641">SUM(EZL50:EZW50)</f>
        <v>0</v>
      </c>
      <c r="FAO50" s="108" t="s">
        <v>90</v>
      </c>
      <c r="FAQ50" s="108" t="s">
        <v>63</v>
      </c>
      <c r="FBD50" s="108">
        <f t="shared" ref="FBD50:FBD51" si="642">SUM(FAR50:FBC50)</f>
        <v>0</v>
      </c>
      <c r="FBU50" s="108" t="s">
        <v>90</v>
      </c>
      <c r="FBW50" s="108" t="s">
        <v>63</v>
      </c>
      <c r="FCJ50" s="108">
        <f t="shared" ref="FCJ50:FCJ51" si="643">SUM(FBX50:FCI50)</f>
        <v>0</v>
      </c>
      <c r="FDA50" s="108" t="s">
        <v>90</v>
      </c>
      <c r="FDC50" s="108" t="s">
        <v>63</v>
      </c>
      <c r="FDP50" s="108">
        <f t="shared" ref="FDP50:FDP51" si="644">SUM(FDD50:FDO50)</f>
        <v>0</v>
      </c>
      <c r="FEG50" s="108" t="s">
        <v>90</v>
      </c>
      <c r="FEI50" s="108" t="s">
        <v>63</v>
      </c>
      <c r="FEV50" s="108">
        <f t="shared" ref="FEV50:FEV51" si="645">SUM(FEJ50:FEU50)</f>
        <v>0</v>
      </c>
      <c r="FFM50" s="108" t="s">
        <v>90</v>
      </c>
      <c r="FFO50" s="108" t="s">
        <v>63</v>
      </c>
      <c r="FGB50" s="108">
        <f t="shared" ref="FGB50:FGB51" si="646">SUM(FFP50:FGA50)</f>
        <v>0</v>
      </c>
      <c r="FGS50" s="108" t="s">
        <v>90</v>
      </c>
      <c r="FGU50" s="108" t="s">
        <v>63</v>
      </c>
      <c r="FHH50" s="108">
        <f t="shared" ref="FHH50:FHH51" si="647">SUM(FGV50:FHG50)</f>
        <v>0</v>
      </c>
      <c r="FHY50" s="108" t="s">
        <v>90</v>
      </c>
      <c r="FIA50" s="108" t="s">
        <v>63</v>
      </c>
      <c r="FIN50" s="108">
        <f t="shared" ref="FIN50:FIN51" si="648">SUM(FIB50:FIM50)</f>
        <v>0</v>
      </c>
      <c r="FJE50" s="108" t="s">
        <v>90</v>
      </c>
      <c r="FJG50" s="108" t="s">
        <v>63</v>
      </c>
      <c r="FJT50" s="108">
        <f t="shared" ref="FJT50:FJT51" si="649">SUM(FJH50:FJS50)</f>
        <v>0</v>
      </c>
      <c r="FKK50" s="108" t="s">
        <v>90</v>
      </c>
      <c r="FKM50" s="108" t="s">
        <v>63</v>
      </c>
      <c r="FKZ50" s="108">
        <f t="shared" ref="FKZ50:FKZ51" si="650">SUM(FKN50:FKY50)</f>
        <v>0</v>
      </c>
      <c r="FLQ50" s="108" t="s">
        <v>90</v>
      </c>
      <c r="FLS50" s="108" t="s">
        <v>63</v>
      </c>
      <c r="FMF50" s="108">
        <f t="shared" ref="FMF50:FMF51" si="651">SUM(FLT50:FME50)</f>
        <v>0</v>
      </c>
      <c r="FMW50" s="108" t="s">
        <v>90</v>
      </c>
      <c r="FMY50" s="108" t="s">
        <v>63</v>
      </c>
      <c r="FNL50" s="108">
        <f t="shared" ref="FNL50:FNL51" si="652">SUM(FMZ50:FNK50)</f>
        <v>0</v>
      </c>
      <c r="FOC50" s="108" t="s">
        <v>90</v>
      </c>
      <c r="FOE50" s="108" t="s">
        <v>63</v>
      </c>
      <c r="FOR50" s="108">
        <f t="shared" ref="FOR50:FOR51" si="653">SUM(FOF50:FOQ50)</f>
        <v>0</v>
      </c>
      <c r="FPI50" s="108" t="s">
        <v>90</v>
      </c>
      <c r="FPK50" s="108" t="s">
        <v>63</v>
      </c>
      <c r="FPX50" s="108">
        <f t="shared" ref="FPX50:FPX51" si="654">SUM(FPL50:FPW50)</f>
        <v>0</v>
      </c>
      <c r="FQO50" s="108" t="s">
        <v>90</v>
      </c>
      <c r="FQQ50" s="108" t="s">
        <v>63</v>
      </c>
      <c r="FRD50" s="108">
        <f t="shared" ref="FRD50:FRD51" si="655">SUM(FQR50:FRC50)</f>
        <v>0</v>
      </c>
      <c r="FRU50" s="108" t="s">
        <v>90</v>
      </c>
      <c r="FRW50" s="108" t="s">
        <v>63</v>
      </c>
      <c r="FSJ50" s="108">
        <f t="shared" ref="FSJ50:FSJ51" si="656">SUM(FRX50:FSI50)</f>
        <v>0</v>
      </c>
      <c r="FTA50" s="108" t="s">
        <v>90</v>
      </c>
      <c r="FTC50" s="108" t="s">
        <v>63</v>
      </c>
      <c r="FTP50" s="108">
        <f t="shared" ref="FTP50:FTP51" si="657">SUM(FTD50:FTO50)</f>
        <v>0</v>
      </c>
      <c r="FUG50" s="108" t="s">
        <v>90</v>
      </c>
      <c r="FUI50" s="108" t="s">
        <v>63</v>
      </c>
      <c r="FUV50" s="108">
        <f t="shared" ref="FUV50:FUV51" si="658">SUM(FUJ50:FUU50)</f>
        <v>0</v>
      </c>
      <c r="FVM50" s="108" t="s">
        <v>90</v>
      </c>
      <c r="FVO50" s="108" t="s">
        <v>63</v>
      </c>
      <c r="FWB50" s="108">
        <f t="shared" ref="FWB50:FWB51" si="659">SUM(FVP50:FWA50)</f>
        <v>0</v>
      </c>
      <c r="FWS50" s="108" t="s">
        <v>90</v>
      </c>
      <c r="FWU50" s="108" t="s">
        <v>63</v>
      </c>
      <c r="FXH50" s="108">
        <f t="shared" ref="FXH50:FXH51" si="660">SUM(FWV50:FXG50)</f>
        <v>0</v>
      </c>
      <c r="FXY50" s="108" t="s">
        <v>90</v>
      </c>
      <c r="FYA50" s="108" t="s">
        <v>63</v>
      </c>
      <c r="FYN50" s="108">
        <f t="shared" ref="FYN50:FYN51" si="661">SUM(FYB50:FYM50)</f>
        <v>0</v>
      </c>
      <c r="FZE50" s="108" t="s">
        <v>90</v>
      </c>
      <c r="FZG50" s="108" t="s">
        <v>63</v>
      </c>
      <c r="FZT50" s="108">
        <f t="shared" ref="FZT50:FZT51" si="662">SUM(FZH50:FZS50)</f>
        <v>0</v>
      </c>
      <c r="GAK50" s="108" t="s">
        <v>90</v>
      </c>
      <c r="GAM50" s="108" t="s">
        <v>63</v>
      </c>
      <c r="GAZ50" s="108">
        <f t="shared" ref="GAZ50:GAZ51" si="663">SUM(GAN50:GAY50)</f>
        <v>0</v>
      </c>
      <c r="GBQ50" s="108" t="s">
        <v>90</v>
      </c>
      <c r="GBS50" s="108" t="s">
        <v>63</v>
      </c>
      <c r="GCF50" s="108">
        <f t="shared" ref="GCF50:GCF51" si="664">SUM(GBT50:GCE50)</f>
        <v>0</v>
      </c>
      <c r="GCW50" s="108" t="s">
        <v>90</v>
      </c>
      <c r="GCY50" s="108" t="s">
        <v>63</v>
      </c>
      <c r="GDL50" s="108">
        <f t="shared" ref="GDL50:GDL51" si="665">SUM(GCZ50:GDK50)</f>
        <v>0</v>
      </c>
      <c r="GEC50" s="108" t="s">
        <v>90</v>
      </c>
      <c r="GEE50" s="108" t="s">
        <v>63</v>
      </c>
      <c r="GER50" s="108">
        <f t="shared" ref="GER50:GER51" si="666">SUM(GEF50:GEQ50)</f>
        <v>0</v>
      </c>
      <c r="GFI50" s="108" t="s">
        <v>90</v>
      </c>
      <c r="GFK50" s="108" t="s">
        <v>63</v>
      </c>
      <c r="GFX50" s="108">
        <f t="shared" ref="GFX50:GFX51" si="667">SUM(GFL50:GFW50)</f>
        <v>0</v>
      </c>
      <c r="GGO50" s="108" t="s">
        <v>90</v>
      </c>
      <c r="GGQ50" s="108" t="s">
        <v>63</v>
      </c>
      <c r="GHD50" s="108">
        <f t="shared" ref="GHD50:GHD51" si="668">SUM(GGR50:GHC50)</f>
        <v>0</v>
      </c>
      <c r="GHU50" s="108" t="s">
        <v>90</v>
      </c>
      <c r="GHW50" s="108" t="s">
        <v>63</v>
      </c>
      <c r="GIJ50" s="108">
        <f t="shared" ref="GIJ50:GIJ51" si="669">SUM(GHX50:GII50)</f>
        <v>0</v>
      </c>
      <c r="GJA50" s="108" t="s">
        <v>90</v>
      </c>
      <c r="GJC50" s="108" t="s">
        <v>63</v>
      </c>
      <c r="GJP50" s="108">
        <f t="shared" ref="GJP50:GJP51" si="670">SUM(GJD50:GJO50)</f>
        <v>0</v>
      </c>
      <c r="GKG50" s="108" t="s">
        <v>90</v>
      </c>
      <c r="GKI50" s="108" t="s">
        <v>63</v>
      </c>
      <c r="GKV50" s="108">
        <f t="shared" ref="GKV50:GKV51" si="671">SUM(GKJ50:GKU50)</f>
        <v>0</v>
      </c>
      <c r="GLM50" s="108" t="s">
        <v>90</v>
      </c>
      <c r="GLO50" s="108" t="s">
        <v>63</v>
      </c>
      <c r="GMB50" s="108">
        <f t="shared" ref="GMB50:GMB51" si="672">SUM(GLP50:GMA50)</f>
        <v>0</v>
      </c>
      <c r="GMS50" s="108" t="s">
        <v>90</v>
      </c>
      <c r="GMU50" s="108" t="s">
        <v>63</v>
      </c>
      <c r="GNH50" s="108">
        <f t="shared" ref="GNH50:GNH51" si="673">SUM(GMV50:GNG50)</f>
        <v>0</v>
      </c>
      <c r="GNY50" s="108" t="s">
        <v>90</v>
      </c>
      <c r="GOA50" s="108" t="s">
        <v>63</v>
      </c>
      <c r="GON50" s="108">
        <f t="shared" ref="GON50:GON51" si="674">SUM(GOB50:GOM50)</f>
        <v>0</v>
      </c>
      <c r="GPE50" s="108" t="s">
        <v>90</v>
      </c>
      <c r="GPG50" s="108" t="s">
        <v>63</v>
      </c>
      <c r="GPT50" s="108">
        <f t="shared" ref="GPT50:GPT51" si="675">SUM(GPH50:GPS50)</f>
        <v>0</v>
      </c>
      <c r="GQK50" s="108" t="s">
        <v>90</v>
      </c>
      <c r="GQM50" s="108" t="s">
        <v>63</v>
      </c>
      <c r="GQZ50" s="108">
        <f t="shared" ref="GQZ50:GQZ51" si="676">SUM(GQN50:GQY50)</f>
        <v>0</v>
      </c>
      <c r="GRQ50" s="108" t="s">
        <v>90</v>
      </c>
      <c r="GRS50" s="108" t="s">
        <v>63</v>
      </c>
      <c r="GSF50" s="108">
        <f t="shared" ref="GSF50:GSF51" si="677">SUM(GRT50:GSE50)</f>
        <v>0</v>
      </c>
      <c r="GSW50" s="108" t="s">
        <v>90</v>
      </c>
      <c r="GSY50" s="108" t="s">
        <v>63</v>
      </c>
      <c r="GTL50" s="108">
        <f t="shared" ref="GTL50:GTL51" si="678">SUM(GSZ50:GTK50)</f>
        <v>0</v>
      </c>
      <c r="GUC50" s="108" t="s">
        <v>90</v>
      </c>
      <c r="GUE50" s="108" t="s">
        <v>63</v>
      </c>
      <c r="GUR50" s="108">
        <f t="shared" ref="GUR50:GUR51" si="679">SUM(GUF50:GUQ50)</f>
        <v>0</v>
      </c>
      <c r="GVI50" s="108" t="s">
        <v>90</v>
      </c>
      <c r="GVK50" s="108" t="s">
        <v>63</v>
      </c>
      <c r="GVX50" s="108">
        <f t="shared" ref="GVX50:GVX51" si="680">SUM(GVL50:GVW50)</f>
        <v>0</v>
      </c>
      <c r="GWO50" s="108" t="s">
        <v>90</v>
      </c>
      <c r="GWQ50" s="108" t="s">
        <v>63</v>
      </c>
      <c r="GXD50" s="108">
        <f t="shared" ref="GXD50:GXD51" si="681">SUM(GWR50:GXC50)</f>
        <v>0</v>
      </c>
      <c r="GXU50" s="108" t="s">
        <v>90</v>
      </c>
      <c r="GXW50" s="108" t="s">
        <v>63</v>
      </c>
      <c r="GYJ50" s="108">
        <f t="shared" ref="GYJ50:GYJ51" si="682">SUM(GXX50:GYI50)</f>
        <v>0</v>
      </c>
      <c r="GZA50" s="108" t="s">
        <v>90</v>
      </c>
      <c r="GZC50" s="108" t="s">
        <v>63</v>
      </c>
      <c r="GZP50" s="108">
        <f t="shared" ref="GZP50:GZP51" si="683">SUM(GZD50:GZO50)</f>
        <v>0</v>
      </c>
      <c r="HAG50" s="108" t="s">
        <v>90</v>
      </c>
      <c r="HAI50" s="108" t="s">
        <v>63</v>
      </c>
      <c r="HAV50" s="108">
        <f t="shared" ref="HAV50:HAV51" si="684">SUM(HAJ50:HAU50)</f>
        <v>0</v>
      </c>
      <c r="HBM50" s="108" t="s">
        <v>90</v>
      </c>
      <c r="HBO50" s="108" t="s">
        <v>63</v>
      </c>
      <c r="HCB50" s="108">
        <f t="shared" ref="HCB50:HCB51" si="685">SUM(HBP50:HCA50)</f>
        <v>0</v>
      </c>
      <c r="HCS50" s="108" t="s">
        <v>90</v>
      </c>
      <c r="HCU50" s="108" t="s">
        <v>63</v>
      </c>
      <c r="HDH50" s="108">
        <f t="shared" ref="HDH50:HDH51" si="686">SUM(HCV50:HDG50)</f>
        <v>0</v>
      </c>
      <c r="HDY50" s="108" t="s">
        <v>90</v>
      </c>
      <c r="HEA50" s="108" t="s">
        <v>63</v>
      </c>
      <c r="HEN50" s="108">
        <f t="shared" ref="HEN50:HEN51" si="687">SUM(HEB50:HEM50)</f>
        <v>0</v>
      </c>
      <c r="HFE50" s="108" t="s">
        <v>90</v>
      </c>
      <c r="HFG50" s="108" t="s">
        <v>63</v>
      </c>
      <c r="HFT50" s="108">
        <f t="shared" ref="HFT50:HFT51" si="688">SUM(HFH50:HFS50)</f>
        <v>0</v>
      </c>
      <c r="HGK50" s="108" t="s">
        <v>90</v>
      </c>
      <c r="HGM50" s="108" t="s">
        <v>63</v>
      </c>
      <c r="HGZ50" s="108">
        <f t="shared" ref="HGZ50:HGZ51" si="689">SUM(HGN50:HGY50)</f>
        <v>0</v>
      </c>
      <c r="HHQ50" s="108" t="s">
        <v>90</v>
      </c>
      <c r="HHS50" s="108" t="s">
        <v>63</v>
      </c>
      <c r="HIF50" s="108">
        <f t="shared" ref="HIF50:HIF51" si="690">SUM(HHT50:HIE50)</f>
        <v>0</v>
      </c>
      <c r="HIW50" s="108" t="s">
        <v>90</v>
      </c>
      <c r="HIY50" s="108" t="s">
        <v>63</v>
      </c>
      <c r="HJL50" s="108">
        <f t="shared" ref="HJL50:HJL51" si="691">SUM(HIZ50:HJK50)</f>
        <v>0</v>
      </c>
      <c r="HKC50" s="108" t="s">
        <v>90</v>
      </c>
      <c r="HKE50" s="108" t="s">
        <v>63</v>
      </c>
      <c r="HKR50" s="108">
        <f t="shared" ref="HKR50:HKR51" si="692">SUM(HKF50:HKQ50)</f>
        <v>0</v>
      </c>
      <c r="HLI50" s="108" t="s">
        <v>90</v>
      </c>
      <c r="HLK50" s="108" t="s">
        <v>63</v>
      </c>
      <c r="HLX50" s="108">
        <f t="shared" ref="HLX50:HLX51" si="693">SUM(HLL50:HLW50)</f>
        <v>0</v>
      </c>
      <c r="HMO50" s="108" t="s">
        <v>90</v>
      </c>
      <c r="HMQ50" s="108" t="s">
        <v>63</v>
      </c>
      <c r="HND50" s="108">
        <f t="shared" ref="HND50:HND51" si="694">SUM(HMR50:HNC50)</f>
        <v>0</v>
      </c>
      <c r="HNU50" s="108" t="s">
        <v>90</v>
      </c>
      <c r="HNW50" s="108" t="s">
        <v>63</v>
      </c>
      <c r="HOJ50" s="108">
        <f t="shared" ref="HOJ50:HOJ51" si="695">SUM(HNX50:HOI50)</f>
        <v>0</v>
      </c>
      <c r="HPA50" s="108" t="s">
        <v>90</v>
      </c>
      <c r="HPC50" s="108" t="s">
        <v>63</v>
      </c>
      <c r="HPP50" s="108">
        <f t="shared" ref="HPP50:HPP51" si="696">SUM(HPD50:HPO50)</f>
        <v>0</v>
      </c>
      <c r="HQG50" s="108" t="s">
        <v>90</v>
      </c>
      <c r="HQI50" s="108" t="s">
        <v>63</v>
      </c>
      <c r="HQV50" s="108">
        <f t="shared" ref="HQV50:HQV51" si="697">SUM(HQJ50:HQU50)</f>
        <v>0</v>
      </c>
      <c r="HRM50" s="108" t="s">
        <v>90</v>
      </c>
      <c r="HRO50" s="108" t="s">
        <v>63</v>
      </c>
      <c r="HSB50" s="108">
        <f t="shared" ref="HSB50:HSB51" si="698">SUM(HRP50:HSA50)</f>
        <v>0</v>
      </c>
      <c r="HSS50" s="108" t="s">
        <v>90</v>
      </c>
      <c r="HSU50" s="108" t="s">
        <v>63</v>
      </c>
      <c r="HTH50" s="108">
        <f t="shared" ref="HTH50:HTH51" si="699">SUM(HSV50:HTG50)</f>
        <v>0</v>
      </c>
      <c r="HTY50" s="108" t="s">
        <v>90</v>
      </c>
      <c r="HUA50" s="108" t="s">
        <v>63</v>
      </c>
      <c r="HUN50" s="108">
        <f t="shared" ref="HUN50:HUN51" si="700">SUM(HUB50:HUM50)</f>
        <v>0</v>
      </c>
      <c r="HVE50" s="108" t="s">
        <v>90</v>
      </c>
      <c r="HVG50" s="108" t="s">
        <v>63</v>
      </c>
      <c r="HVT50" s="108">
        <f t="shared" ref="HVT50:HVT51" si="701">SUM(HVH50:HVS50)</f>
        <v>0</v>
      </c>
      <c r="HWK50" s="108" t="s">
        <v>90</v>
      </c>
      <c r="HWM50" s="108" t="s">
        <v>63</v>
      </c>
      <c r="HWZ50" s="108">
        <f t="shared" ref="HWZ50:HWZ51" si="702">SUM(HWN50:HWY50)</f>
        <v>0</v>
      </c>
      <c r="HXQ50" s="108" t="s">
        <v>90</v>
      </c>
      <c r="HXS50" s="108" t="s">
        <v>63</v>
      </c>
      <c r="HYF50" s="108">
        <f t="shared" ref="HYF50:HYF51" si="703">SUM(HXT50:HYE50)</f>
        <v>0</v>
      </c>
      <c r="HYW50" s="108" t="s">
        <v>90</v>
      </c>
      <c r="HYY50" s="108" t="s">
        <v>63</v>
      </c>
      <c r="HZL50" s="108">
        <f t="shared" ref="HZL50:HZL51" si="704">SUM(HYZ50:HZK50)</f>
        <v>0</v>
      </c>
      <c r="IAC50" s="108" t="s">
        <v>90</v>
      </c>
      <c r="IAE50" s="108" t="s">
        <v>63</v>
      </c>
      <c r="IAR50" s="108">
        <f t="shared" ref="IAR50:IAR51" si="705">SUM(IAF50:IAQ50)</f>
        <v>0</v>
      </c>
      <c r="IBI50" s="108" t="s">
        <v>90</v>
      </c>
      <c r="IBK50" s="108" t="s">
        <v>63</v>
      </c>
      <c r="IBX50" s="108">
        <f t="shared" ref="IBX50:IBX51" si="706">SUM(IBL50:IBW50)</f>
        <v>0</v>
      </c>
      <c r="ICO50" s="108" t="s">
        <v>90</v>
      </c>
      <c r="ICQ50" s="108" t="s">
        <v>63</v>
      </c>
      <c r="IDD50" s="108">
        <f t="shared" ref="IDD50:IDD51" si="707">SUM(ICR50:IDC50)</f>
        <v>0</v>
      </c>
      <c r="IDU50" s="108" t="s">
        <v>90</v>
      </c>
      <c r="IDW50" s="108" t="s">
        <v>63</v>
      </c>
      <c r="IEJ50" s="108">
        <f t="shared" ref="IEJ50:IEJ51" si="708">SUM(IDX50:IEI50)</f>
        <v>0</v>
      </c>
      <c r="IFA50" s="108" t="s">
        <v>90</v>
      </c>
      <c r="IFC50" s="108" t="s">
        <v>63</v>
      </c>
      <c r="IFP50" s="108">
        <f t="shared" ref="IFP50:IFP51" si="709">SUM(IFD50:IFO50)</f>
        <v>0</v>
      </c>
      <c r="IGG50" s="108" t="s">
        <v>90</v>
      </c>
      <c r="IGI50" s="108" t="s">
        <v>63</v>
      </c>
      <c r="IGV50" s="108">
        <f t="shared" ref="IGV50:IGV51" si="710">SUM(IGJ50:IGU50)</f>
        <v>0</v>
      </c>
      <c r="IHM50" s="108" t="s">
        <v>90</v>
      </c>
      <c r="IHO50" s="108" t="s">
        <v>63</v>
      </c>
      <c r="IIB50" s="108">
        <f t="shared" ref="IIB50:IIB51" si="711">SUM(IHP50:IIA50)</f>
        <v>0</v>
      </c>
      <c r="IIS50" s="108" t="s">
        <v>90</v>
      </c>
      <c r="IIU50" s="108" t="s">
        <v>63</v>
      </c>
      <c r="IJH50" s="108">
        <f t="shared" ref="IJH50:IJH51" si="712">SUM(IIV50:IJG50)</f>
        <v>0</v>
      </c>
      <c r="IJY50" s="108" t="s">
        <v>90</v>
      </c>
      <c r="IKA50" s="108" t="s">
        <v>63</v>
      </c>
      <c r="IKN50" s="108">
        <f t="shared" ref="IKN50:IKN51" si="713">SUM(IKB50:IKM50)</f>
        <v>0</v>
      </c>
      <c r="ILE50" s="108" t="s">
        <v>90</v>
      </c>
      <c r="ILG50" s="108" t="s">
        <v>63</v>
      </c>
      <c r="ILT50" s="108">
        <f t="shared" ref="ILT50:ILT51" si="714">SUM(ILH50:ILS50)</f>
        <v>0</v>
      </c>
      <c r="IMK50" s="108" t="s">
        <v>90</v>
      </c>
      <c r="IMM50" s="108" t="s">
        <v>63</v>
      </c>
      <c r="IMZ50" s="108">
        <f t="shared" ref="IMZ50:IMZ51" si="715">SUM(IMN50:IMY50)</f>
        <v>0</v>
      </c>
      <c r="INQ50" s="108" t="s">
        <v>90</v>
      </c>
      <c r="INS50" s="108" t="s">
        <v>63</v>
      </c>
      <c r="IOF50" s="108">
        <f t="shared" ref="IOF50:IOF51" si="716">SUM(INT50:IOE50)</f>
        <v>0</v>
      </c>
      <c r="IOW50" s="108" t="s">
        <v>90</v>
      </c>
      <c r="IOY50" s="108" t="s">
        <v>63</v>
      </c>
      <c r="IPL50" s="108">
        <f t="shared" ref="IPL50:IPL51" si="717">SUM(IOZ50:IPK50)</f>
        <v>0</v>
      </c>
      <c r="IQC50" s="108" t="s">
        <v>90</v>
      </c>
      <c r="IQE50" s="108" t="s">
        <v>63</v>
      </c>
      <c r="IQR50" s="108">
        <f t="shared" ref="IQR50:IQR51" si="718">SUM(IQF50:IQQ50)</f>
        <v>0</v>
      </c>
      <c r="IRI50" s="108" t="s">
        <v>90</v>
      </c>
      <c r="IRK50" s="108" t="s">
        <v>63</v>
      </c>
      <c r="IRX50" s="108">
        <f t="shared" ref="IRX50:IRX51" si="719">SUM(IRL50:IRW50)</f>
        <v>0</v>
      </c>
      <c r="ISO50" s="108" t="s">
        <v>90</v>
      </c>
      <c r="ISQ50" s="108" t="s">
        <v>63</v>
      </c>
      <c r="ITD50" s="108">
        <f t="shared" ref="ITD50:ITD51" si="720">SUM(ISR50:ITC50)</f>
        <v>0</v>
      </c>
      <c r="ITU50" s="108" t="s">
        <v>90</v>
      </c>
      <c r="ITW50" s="108" t="s">
        <v>63</v>
      </c>
      <c r="IUJ50" s="108">
        <f t="shared" ref="IUJ50:IUJ51" si="721">SUM(ITX50:IUI50)</f>
        <v>0</v>
      </c>
      <c r="IVA50" s="108" t="s">
        <v>90</v>
      </c>
      <c r="IVC50" s="108" t="s">
        <v>63</v>
      </c>
      <c r="IVP50" s="108">
        <f t="shared" ref="IVP50:IVP51" si="722">SUM(IVD50:IVO50)</f>
        <v>0</v>
      </c>
      <c r="IWG50" s="108" t="s">
        <v>90</v>
      </c>
      <c r="IWI50" s="108" t="s">
        <v>63</v>
      </c>
      <c r="IWV50" s="108">
        <f t="shared" ref="IWV50:IWV51" si="723">SUM(IWJ50:IWU50)</f>
        <v>0</v>
      </c>
      <c r="IXM50" s="108" t="s">
        <v>90</v>
      </c>
      <c r="IXO50" s="108" t="s">
        <v>63</v>
      </c>
      <c r="IYB50" s="108">
        <f t="shared" ref="IYB50:IYB51" si="724">SUM(IXP50:IYA50)</f>
        <v>0</v>
      </c>
      <c r="IYS50" s="108" t="s">
        <v>90</v>
      </c>
      <c r="IYU50" s="108" t="s">
        <v>63</v>
      </c>
      <c r="IZH50" s="108">
        <f t="shared" ref="IZH50:IZH51" si="725">SUM(IYV50:IZG50)</f>
        <v>0</v>
      </c>
      <c r="IZY50" s="108" t="s">
        <v>90</v>
      </c>
      <c r="JAA50" s="108" t="s">
        <v>63</v>
      </c>
      <c r="JAN50" s="108">
        <f t="shared" ref="JAN50:JAN51" si="726">SUM(JAB50:JAM50)</f>
        <v>0</v>
      </c>
      <c r="JBE50" s="108" t="s">
        <v>90</v>
      </c>
      <c r="JBG50" s="108" t="s">
        <v>63</v>
      </c>
      <c r="JBT50" s="108">
        <f t="shared" ref="JBT50:JBT51" si="727">SUM(JBH50:JBS50)</f>
        <v>0</v>
      </c>
      <c r="JCK50" s="108" t="s">
        <v>90</v>
      </c>
      <c r="JCM50" s="108" t="s">
        <v>63</v>
      </c>
      <c r="JCZ50" s="108">
        <f t="shared" ref="JCZ50:JCZ51" si="728">SUM(JCN50:JCY50)</f>
        <v>0</v>
      </c>
      <c r="JDQ50" s="108" t="s">
        <v>90</v>
      </c>
      <c r="JDS50" s="108" t="s">
        <v>63</v>
      </c>
      <c r="JEF50" s="108">
        <f t="shared" ref="JEF50:JEF51" si="729">SUM(JDT50:JEE50)</f>
        <v>0</v>
      </c>
      <c r="JEW50" s="108" t="s">
        <v>90</v>
      </c>
      <c r="JEY50" s="108" t="s">
        <v>63</v>
      </c>
      <c r="JFL50" s="108">
        <f t="shared" ref="JFL50:JFL51" si="730">SUM(JEZ50:JFK50)</f>
        <v>0</v>
      </c>
      <c r="JGC50" s="108" t="s">
        <v>90</v>
      </c>
      <c r="JGE50" s="108" t="s">
        <v>63</v>
      </c>
      <c r="JGR50" s="108">
        <f t="shared" ref="JGR50:JGR51" si="731">SUM(JGF50:JGQ50)</f>
        <v>0</v>
      </c>
      <c r="JHI50" s="108" t="s">
        <v>90</v>
      </c>
      <c r="JHK50" s="108" t="s">
        <v>63</v>
      </c>
      <c r="JHX50" s="108">
        <f t="shared" ref="JHX50:JHX51" si="732">SUM(JHL50:JHW50)</f>
        <v>0</v>
      </c>
      <c r="JIO50" s="108" t="s">
        <v>90</v>
      </c>
      <c r="JIQ50" s="108" t="s">
        <v>63</v>
      </c>
      <c r="JJD50" s="108">
        <f t="shared" ref="JJD50:JJD51" si="733">SUM(JIR50:JJC50)</f>
        <v>0</v>
      </c>
      <c r="JJU50" s="108" t="s">
        <v>90</v>
      </c>
      <c r="JJW50" s="108" t="s">
        <v>63</v>
      </c>
      <c r="JKJ50" s="108">
        <f t="shared" ref="JKJ50:JKJ51" si="734">SUM(JJX50:JKI50)</f>
        <v>0</v>
      </c>
      <c r="JLA50" s="108" t="s">
        <v>90</v>
      </c>
      <c r="JLC50" s="108" t="s">
        <v>63</v>
      </c>
      <c r="JLP50" s="108">
        <f t="shared" ref="JLP50:JLP51" si="735">SUM(JLD50:JLO50)</f>
        <v>0</v>
      </c>
      <c r="JMG50" s="108" t="s">
        <v>90</v>
      </c>
      <c r="JMI50" s="108" t="s">
        <v>63</v>
      </c>
      <c r="JMV50" s="108">
        <f t="shared" ref="JMV50:JMV51" si="736">SUM(JMJ50:JMU50)</f>
        <v>0</v>
      </c>
      <c r="JNM50" s="108" t="s">
        <v>90</v>
      </c>
      <c r="JNO50" s="108" t="s">
        <v>63</v>
      </c>
      <c r="JOB50" s="108">
        <f t="shared" ref="JOB50:JOB51" si="737">SUM(JNP50:JOA50)</f>
        <v>0</v>
      </c>
      <c r="JOS50" s="108" t="s">
        <v>90</v>
      </c>
      <c r="JOU50" s="108" t="s">
        <v>63</v>
      </c>
      <c r="JPH50" s="108">
        <f t="shared" ref="JPH50:JPH51" si="738">SUM(JOV50:JPG50)</f>
        <v>0</v>
      </c>
      <c r="JPY50" s="108" t="s">
        <v>90</v>
      </c>
      <c r="JQA50" s="108" t="s">
        <v>63</v>
      </c>
      <c r="JQN50" s="108">
        <f t="shared" ref="JQN50:JQN51" si="739">SUM(JQB50:JQM50)</f>
        <v>0</v>
      </c>
      <c r="JRE50" s="108" t="s">
        <v>90</v>
      </c>
      <c r="JRG50" s="108" t="s">
        <v>63</v>
      </c>
      <c r="JRT50" s="108">
        <f t="shared" ref="JRT50:JRT51" si="740">SUM(JRH50:JRS50)</f>
        <v>0</v>
      </c>
      <c r="JSK50" s="108" t="s">
        <v>90</v>
      </c>
      <c r="JSM50" s="108" t="s">
        <v>63</v>
      </c>
      <c r="JSZ50" s="108">
        <f t="shared" ref="JSZ50:JSZ51" si="741">SUM(JSN50:JSY50)</f>
        <v>0</v>
      </c>
      <c r="JTQ50" s="108" t="s">
        <v>90</v>
      </c>
      <c r="JTS50" s="108" t="s">
        <v>63</v>
      </c>
      <c r="JUF50" s="108">
        <f t="shared" ref="JUF50:JUF51" si="742">SUM(JTT50:JUE50)</f>
        <v>0</v>
      </c>
      <c r="JUW50" s="108" t="s">
        <v>90</v>
      </c>
      <c r="JUY50" s="108" t="s">
        <v>63</v>
      </c>
      <c r="JVL50" s="108">
        <f t="shared" ref="JVL50:JVL51" si="743">SUM(JUZ50:JVK50)</f>
        <v>0</v>
      </c>
      <c r="JWC50" s="108" t="s">
        <v>90</v>
      </c>
      <c r="JWE50" s="108" t="s">
        <v>63</v>
      </c>
      <c r="JWR50" s="108">
        <f t="shared" ref="JWR50:JWR51" si="744">SUM(JWF50:JWQ50)</f>
        <v>0</v>
      </c>
      <c r="JXI50" s="108" t="s">
        <v>90</v>
      </c>
      <c r="JXK50" s="108" t="s">
        <v>63</v>
      </c>
      <c r="JXX50" s="108">
        <f t="shared" ref="JXX50:JXX51" si="745">SUM(JXL50:JXW50)</f>
        <v>0</v>
      </c>
      <c r="JYO50" s="108" t="s">
        <v>90</v>
      </c>
      <c r="JYQ50" s="108" t="s">
        <v>63</v>
      </c>
      <c r="JZD50" s="108">
        <f t="shared" ref="JZD50:JZD51" si="746">SUM(JYR50:JZC50)</f>
        <v>0</v>
      </c>
      <c r="JZU50" s="108" t="s">
        <v>90</v>
      </c>
      <c r="JZW50" s="108" t="s">
        <v>63</v>
      </c>
      <c r="KAJ50" s="108">
        <f t="shared" ref="KAJ50:KAJ51" si="747">SUM(JZX50:KAI50)</f>
        <v>0</v>
      </c>
      <c r="KBA50" s="108" t="s">
        <v>90</v>
      </c>
      <c r="KBC50" s="108" t="s">
        <v>63</v>
      </c>
      <c r="KBP50" s="108">
        <f t="shared" ref="KBP50:KBP51" si="748">SUM(KBD50:KBO50)</f>
        <v>0</v>
      </c>
      <c r="KCG50" s="108" t="s">
        <v>90</v>
      </c>
      <c r="KCI50" s="108" t="s">
        <v>63</v>
      </c>
      <c r="KCV50" s="108">
        <f t="shared" ref="KCV50:KCV51" si="749">SUM(KCJ50:KCU50)</f>
        <v>0</v>
      </c>
      <c r="KDM50" s="108" t="s">
        <v>90</v>
      </c>
      <c r="KDO50" s="108" t="s">
        <v>63</v>
      </c>
      <c r="KEB50" s="108">
        <f t="shared" ref="KEB50:KEB51" si="750">SUM(KDP50:KEA50)</f>
        <v>0</v>
      </c>
      <c r="KES50" s="108" t="s">
        <v>90</v>
      </c>
      <c r="KEU50" s="108" t="s">
        <v>63</v>
      </c>
      <c r="KFH50" s="108">
        <f t="shared" ref="KFH50:KFH51" si="751">SUM(KEV50:KFG50)</f>
        <v>0</v>
      </c>
      <c r="KFY50" s="108" t="s">
        <v>90</v>
      </c>
      <c r="KGA50" s="108" t="s">
        <v>63</v>
      </c>
      <c r="KGN50" s="108">
        <f t="shared" ref="KGN50:KGN51" si="752">SUM(KGB50:KGM50)</f>
        <v>0</v>
      </c>
      <c r="KHE50" s="108" t="s">
        <v>90</v>
      </c>
      <c r="KHG50" s="108" t="s">
        <v>63</v>
      </c>
      <c r="KHT50" s="108">
        <f t="shared" ref="KHT50:KHT51" si="753">SUM(KHH50:KHS50)</f>
        <v>0</v>
      </c>
      <c r="KIK50" s="108" t="s">
        <v>90</v>
      </c>
      <c r="KIM50" s="108" t="s">
        <v>63</v>
      </c>
      <c r="KIZ50" s="108">
        <f t="shared" ref="KIZ50:KIZ51" si="754">SUM(KIN50:KIY50)</f>
        <v>0</v>
      </c>
      <c r="KJQ50" s="108" t="s">
        <v>90</v>
      </c>
      <c r="KJS50" s="108" t="s">
        <v>63</v>
      </c>
      <c r="KKF50" s="108">
        <f t="shared" ref="KKF50:KKF51" si="755">SUM(KJT50:KKE50)</f>
        <v>0</v>
      </c>
      <c r="KKW50" s="108" t="s">
        <v>90</v>
      </c>
      <c r="KKY50" s="108" t="s">
        <v>63</v>
      </c>
      <c r="KLL50" s="108">
        <f t="shared" ref="KLL50:KLL51" si="756">SUM(KKZ50:KLK50)</f>
        <v>0</v>
      </c>
      <c r="KMC50" s="108" t="s">
        <v>90</v>
      </c>
      <c r="KME50" s="108" t="s">
        <v>63</v>
      </c>
      <c r="KMR50" s="108">
        <f t="shared" ref="KMR50:KMR51" si="757">SUM(KMF50:KMQ50)</f>
        <v>0</v>
      </c>
      <c r="KNI50" s="108" t="s">
        <v>90</v>
      </c>
      <c r="KNK50" s="108" t="s">
        <v>63</v>
      </c>
      <c r="KNX50" s="108">
        <f t="shared" ref="KNX50:KNX51" si="758">SUM(KNL50:KNW50)</f>
        <v>0</v>
      </c>
      <c r="KOO50" s="108" t="s">
        <v>90</v>
      </c>
      <c r="KOQ50" s="108" t="s">
        <v>63</v>
      </c>
      <c r="KPD50" s="108">
        <f t="shared" ref="KPD50:KPD51" si="759">SUM(KOR50:KPC50)</f>
        <v>0</v>
      </c>
      <c r="KPU50" s="108" t="s">
        <v>90</v>
      </c>
      <c r="KPW50" s="108" t="s">
        <v>63</v>
      </c>
      <c r="KQJ50" s="108">
        <f t="shared" ref="KQJ50:KQJ51" si="760">SUM(KPX50:KQI50)</f>
        <v>0</v>
      </c>
      <c r="KRA50" s="108" t="s">
        <v>90</v>
      </c>
      <c r="KRC50" s="108" t="s">
        <v>63</v>
      </c>
      <c r="KRP50" s="108">
        <f t="shared" ref="KRP50:KRP51" si="761">SUM(KRD50:KRO50)</f>
        <v>0</v>
      </c>
      <c r="KSG50" s="108" t="s">
        <v>90</v>
      </c>
      <c r="KSI50" s="108" t="s">
        <v>63</v>
      </c>
      <c r="KSV50" s="108">
        <f t="shared" ref="KSV50:KSV51" si="762">SUM(KSJ50:KSU50)</f>
        <v>0</v>
      </c>
      <c r="KTM50" s="108" t="s">
        <v>90</v>
      </c>
      <c r="KTO50" s="108" t="s">
        <v>63</v>
      </c>
      <c r="KUB50" s="108">
        <f t="shared" ref="KUB50:KUB51" si="763">SUM(KTP50:KUA50)</f>
        <v>0</v>
      </c>
      <c r="KUS50" s="108" t="s">
        <v>90</v>
      </c>
      <c r="KUU50" s="108" t="s">
        <v>63</v>
      </c>
      <c r="KVH50" s="108">
        <f t="shared" ref="KVH50:KVH51" si="764">SUM(KUV50:KVG50)</f>
        <v>0</v>
      </c>
      <c r="KVY50" s="108" t="s">
        <v>90</v>
      </c>
      <c r="KWA50" s="108" t="s">
        <v>63</v>
      </c>
      <c r="KWN50" s="108">
        <f t="shared" ref="KWN50:KWN51" si="765">SUM(KWB50:KWM50)</f>
        <v>0</v>
      </c>
      <c r="KXE50" s="108" t="s">
        <v>90</v>
      </c>
      <c r="KXG50" s="108" t="s">
        <v>63</v>
      </c>
      <c r="KXT50" s="108">
        <f t="shared" ref="KXT50:KXT51" si="766">SUM(KXH50:KXS50)</f>
        <v>0</v>
      </c>
      <c r="KYK50" s="108" t="s">
        <v>90</v>
      </c>
      <c r="KYM50" s="108" t="s">
        <v>63</v>
      </c>
      <c r="KYZ50" s="108">
        <f t="shared" ref="KYZ50:KYZ51" si="767">SUM(KYN50:KYY50)</f>
        <v>0</v>
      </c>
      <c r="KZQ50" s="108" t="s">
        <v>90</v>
      </c>
      <c r="KZS50" s="108" t="s">
        <v>63</v>
      </c>
      <c r="LAF50" s="108">
        <f t="shared" ref="LAF50:LAF51" si="768">SUM(KZT50:LAE50)</f>
        <v>0</v>
      </c>
      <c r="LAW50" s="108" t="s">
        <v>90</v>
      </c>
      <c r="LAY50" s="108" t="s">
        <v>63</v>
      </c>
      <c r="LBL50" s="108">
        <f t="shared" ref="LBL50:LBL51" si="769">SUM(LAZ50:LBK50)</f>
        <v>0</v>
      </c>
      <c r="LCC50" s="108" t="s">
        <v>90</v>
      </c>
      <c r="LCE50" s="108" t="s">
        <v>63</v>
      </c>
      <c r="LCR50" s="108">
        <f t="shared" ref="LCR50:LCR51" si="770">SUM(LCF50:LCQ50)</f>
        <v>0</v>
      </c>
      <c r="LDI50" s="108" t="s">
        <v>90</v>
      </c>
      <c r="LDK50" s="108" t="s">
        <v>63</v>
      </c>
      <c r="LDX50" s="108">
        <f t="shared" ref="LDX50:LDX51" si="771">SUM(LDL50:LDW50)</f>
        <v>0</v>
      </c>
      <c r="LEO50" s="108" t="s">
        <v>90</v>
      </c>
      <c r="LEQ50" s="108" t="s">
        <v>63</v>
      </c>
      <c r="LFD50" s="108">
        <f t="shared" ref="LFD50:LFD51" si="772">SUM(LER50:LFC50)</f>
        <v>0</v>
      </c>
      <c r="LFU50" s="108" t="s">
        <v>90</v>
      </c>
      <c r="LFW50" s="108" t="s">
        <v>63</v>
      </c>
      <c r="LGJ50" s="108">
        <f t="shared" ref="LGJ50:LGJ51" si="773">SUM(LFX50:LGI50)</f>
        <v>0</v>
      </c>
      <c r="LHA50" s="108" t="s">
        <v>90</v>
      </c>
      <c r="LHC50" s="108" t="s">
        <v>63</v>
      </c>
      <c r="LHP50" s="108">
        <f t="shared" ref="LHP50:LHP51" si="774">SUM(LHD50:LHO50)</f>
        <v>0</v>
      </c>
      <c r="LIG50" s="108" t="s">
        <v>90</v>
      </c>
      <c r="LII50" s="108" t="s">
        <v>63</v>
      </c>
      <c r="LIV50" s="108">
        <f t="shared" ref="LIV50:LIV51" si="775">SUM(LIJ50:LIU50)</f>
        <v>0</v>
      </c>
      <c r="LJM50" s="108" t="s">
        <v>90</v>
      </c>
      <c r="LJO50" s="108" t="s">
        <v>63</v>
      </c>
      <c r="LKB50" s="108">
        <f t="shared" ref="LKB50:LKB51" si="776">SUM(LJP50:LKA50)</f>
        <v>0</v>
      </c>
      <c r="LKS50" s="108" t="s">
        <v>90</v>
      </c>
      <c r="LKU50" s="108" t="s">
        <v>63</v>
      </c>
      <c r="LLH50" s="108">
        <f t="shared" ref="LLH50:LLH51" si="777">SUM(LKV50:LLG50)</f>
        <v>0</v>
      </c>
      <c r="LLY50" s="108" t="s">
        <v>90</v>
      </c>
      <c r="LMA50" s="108" t="s">
        <v>63</v>
      </c>
      <c r="LMN50" s="108">
        <f t="shared" ref="LMN50:LMN51" si="778">SUM(LMB50:LMM50)</f>
        <v>0</v>
      </c>
      <c r="LNE50" s="108" t="s">
        <v>90</v>
      </c>
      <c r="LNG50" s="108" t="s">
        <v>63</v>
      </c>
      <c r="LNT50" s="108">
        <f t="shared" ref="LNT50:LNT51" si="779">SUM(LNH50:LNS50)</f>
        <v>0</v>
      </c>
      <c r="LOK50" s="108" t="s">
        <v>90</v>
      </c>
      <c r="LOM50" s="108" t="s">
        <v>63</v>
      </c>
      <c r="LOZ50" s="108">
        <f t="shared" ref="LOZ50:LOZ51" si="780">SUM(LON50:LOY50)</f>
        <v>0</v>
      </c>
      <c r="LPQ50" s="108" t="s">
        <v>90</v>
      </c>
      <c r="LPS50" s="108" t="s">
        <v>63</v>
      </c>
      <c r="LQF50" s="108">
        <f t="shared" ref="LQF50:LQF51" si="781">SUM(LPT50:LQE50)</f>
        <v>0</v>
      </c>
      <c r="LQW50" s="108" t="s">
        <v>90</v>
      </c>
      <c r="LQY50" s="108" t="s">
        <v>63</v>
      </c>
      <c r="LRL50" s="108">
        <f t="shared" ref="LRL50:LRL51" si="782">SUM(LQZ50:LRK50)</f>
        <v>0</v>
      </c>
      <c r="LSC50" s="108" t="s">
        <v>90</v>
      </c>
      <c r="LSE50" s="108" t="s">
        <v>63</v>
      </c>
      <c r="LSR50" s="108">
        <f t="shared" ref="LSR50:LSR51" si="783">SUM(LSF50:LSQ50)</f>
        <v>0</v>
      </c>
      <c r="LTI50" s="108" t="s">
        <v>90</v>
      </c>
      <c r="LTK50" s="108" t="s">
        <v>63</v>
      </c>
      <c r="LTX50" s="108">
        <f t="shared" ref="LTX50:LTX51" si="784">SUM(LTL50:LTW50)</f>
        <v>0</v>
      </c>
      <c r="LUO50" s="108" t="s">
        <v>90</v>
      </c>
      <c r="LUQ50" s="108" t="s">
        <v>63</v>
      </c>
      <c r="LVD50" s="108">
        <f t="shared" ref="LVD50:LVD51" si="785">SUM(LUR50:LVC50)</f>
        <v>0</v>
      </c>
      <c r="LVU50" s="108" t="s">
        <v>90</v>
      </c>
      <c r="LVW50" s="108" t="s">
        <v>63</v>
      </c>
      <c r="LWJ50" s="108">
        <f t="shared" ref="LWJ50:LWJ51" si="786">SUM(LVX50:LWI50)</f>
        <v>0</v>
      </c>
      <c r="LXA50" s="108" t="s">
        <v>90</v>
      </c>
      <c r="LXC50" s="108" t="s">
        <v>63</v>
      </c>
      <c r="LXP50" s="108">
        <f t="shared" ref="LXP50:LXP51" si="787">SUM(LXD50:LXO50)</f>
        <v>0</v>
      </c>
      <c r="LYG50" s="108" t="s">
        <v>90</v>
      </c>
      <c r="LYI50" s="108" t="s">
        <v>63</v>
      </c>
      <c r="LYV50" s="108">
        <f t="shared" ref="LYV50:LYV51" si="788">SUM(LYJ50:LYU50)</f>
        <v>0</v>
      </c>
      <c r="LZM50" s="108" t="s">
        <v>90</v>
      </c>
      <c r="LZO50" s="108" t="s">
        <v>63</v>
      </c>
      <c r="MAB50" s="108">
        <f t="shared" ref="MAB50:MAB51" si="789">SUM(LZP50:MAA50)</f>
        <v>0</v>
      </c>
      <c r="MAS50" s="108" t="s">
        <v>90</v>
      </c>
      <c r="MAU50" s="108" t="s">
        <v>63</v>
      </c>
      <c r="MBH50" s="108">
        <f t="shared" ref="MBH50:MBH51" si="790">SUM(MAV50:MBG50)</f>
        <v>0</v>
      </c>
      <c r="MBY50" s="108" t="s">
        <v>90</v>
      </c>
      <c r="MCA50" s="108" t="s">
        <v>63</v>
      </c>
      <c r="MCN50" s="108">
        <f t="shared" ref="MCN50:MCN51" si="791">SUM(MCB50:MCM50)</f>
        <v>0</v>
      </c>
      <c r="MDE50" s="108" t="s">
        <v>90</v>
      </c>
      <c r="MDG50" s="108" t="s">
        <v>63</v>
      </c>
      <c r="MDT50" s="108">
        <f t="shared" ref="MDT50:MDT51" si="792">SUM(MDH50:MDS50)</f>
        <v>0</v>
      </c>
      <c r="MEK50" s="108" t="s">
        <v>90</v>
      </c>
      <c r="MEM50" s="108" t="s">
        <v>63</v>
      </c>
      <c r="MEZ50" s="108">
        <f t="shared" ref="MEZ50:MEZ51" si="793">SUM(MEN50:MEY50)</f>
        <v>0</v>
      </c>
      <c r="MFQ50" s="108" t="s">
        <v>90</v>
      </c>
      <c r="MFS50" s="108" t="s">
        <v>63</v>
      </c>
      <c r="MGF50" s="108">
        <f t="shared" ref="MGF50:MGF51" si="794">SUM(MFT50:MGE50)</f>
        <v>0</v>
      </c>
      <c r="MGW50" s="108" t="s">
        <v>90</v>
      </c>
      <c r="MGY50" s="108" t="s">
        <v>63</v>
      </c>
      <c r="MHL50" s="108">
        <f t="shared" ref="MHL50:MHL51" si="795">SUM(MGZ50:MHK50)</f>
        <v>0</v>
      </c>
      <c r="MIC50" s="108" t="s">
        <v>90</v>
      </c>
      <c r="MIE50" s="108" t="s">
        <v>63</v>
      </c>
      <c r="MIR50" s="108">
        <f t="shared" ref="MIR50:MIR51" si="796">SUM(MIF50:MIQ50)</f>
        <v>0</v>
      </c>
      <c r="MJI50" s="108" t="s">
        <v>90</v>
      </c>
      <c r="MJK50" s="108" t="s">
        <v>63</v>
      </c>
      <c r="MJX50" s="108">
        <f t="shared" ref="MJX50:MJX51" si="797">SUM(MJL50:MJW50)</f>
        <v>0</v>
      </c>
      <c r="MKO50" s="108" t="s">
        <v>90</v>
      </c>
      <c r="MKQ50" s="108" t="s">
        <v>63</v>
      </c>
      <c r="MLD50" s="108">
        <f t="shared" ref="MLD50:MLD51" si="798">SUM(MKR50:MLC50)</f>
        <v>0</v>
      </c>
      <c r="MLU50" s="108" t="s">
        <v>90</v>
      </c>
      <c r="MLW50" s="108" t="s">
        <v>63</v>
      </c>
      <c r="MMJ50" s="108">
        <f t="shared" ref="MMJ50:MMJ51" si="799">SUM(MLX50:MMI50)</f>
        <v>0</v>
      </c>
      <c r="MNA50" s="108" t="s">
        <v>90</v>
      </c>
      <c r="MNC50" s="108" t="s">
        <v>63</v>
      </c>
      <c r="MNP50" s="108">
        <f t="shared" ref="MNP50:MNP51" si="800">SUM(MND50:MNO50)</f>
        <v>0</v>
      </c>
      <c r="MOG50" s="108" t="s">
        <v>90</v>
      </c>
      <c r="MOI50" s="108" t="s">
        <v>63</v>
      </c>
      <c r="MOV50" s="108">
        <f t="shared" ref="MOV50:MOV51" si="801">SUM(MOJ50:MOU50)</f>
        <v>0</v>
      </c>
      <c r="MPM50" s="108" t="s">
        <v>90</v>
      </c>
      <c r="MPO50" s="108" t="s">
        <v>63</v>
      </c>
      <c r="MQB50" s="108">
        <f t="shared" ref="MQB50:MQB51" si="802">SUM(MPP50:MQA50)</f>
        <v>0</v>
      </c>
      <c r="MQS50" s="108" t="s">
        <v>90</v>
      </c>
      <c r="MQU50" s="108" t="s">
        <v>63</v>
      </c>
      <c r="MRH50" s="108">
        <f t="shared" ref="MRH50:MRH51" si="803">SUM(MQV50:MRG50)</f>
        <v>0</v>
      </c>
      <c r="MRY50" s="108" t="s">
        <v>90</v>
      </c>
      <c r="MSA50" s="108" t="s">
        <v>63</v>
      </c>
      <c r="MSN50" s="108">
        <f t="shared" ref="MSN50:MSN51" si="804">SUM(MSB50:MSM50)</f>
        <v>0</v>
      </c>
      <c r="MTE50" s="108" t="s">
        <v>90</v>
      </c>
      <c r="MTG50" s="108" t="s">
        <v>63</v>
      </c>
      <c r="MTT50" s="108">
        <f t="shared" ref="MTT50:MTT51" si="805">SUM(MTH50:MTS50)</f>
        <v>0</v>
      </c>
      <c r="MUK50" s="108" t="s">
        <v>90</v>
      </c>
      <c r="MUM50" s="108" t="s">
        <v>63</v>
      </c>
      <c r="MUZ50" s="108">
        <f t="shared" ref="MUZ50:MUZ51" si="806">SUM(MUN50:MUY50)</f>
        <v>0</v>
      </c>
      <c r="MVQ50" s="108" t="s">
        <v>90</v>
      </c>
      <c r="MVS50" s="108" t="s">
        <v>63</v>
      </c>
      <c r="MWF50" s="108">
        <f t="shared" ref="MWF50:MWF51" si="807">SUM(MVT50:MWE50)</f>
        <v>0</v>
      </c>
      <c r="MWW50" s="108" t="s">
        <v>90</v>
      </c>
      <c r="MWY50" s="108" t="s">
        <v>63</v>
      </c>
      <c r="MXL50" s="108">
        <f t="shared" ref="MXL50:MXL51" si="808">SUM(MWZ50:MXK50)</f>
        <v>0</v>
      </c>
      <c r="MYC50" s="108" t="s">
        <v>90</v>
      </c>
      <c r="MYE50" s="108" t="s">
        <v>63</v>
      </c>
      <c r="MYR50" s="108">
        <f t="shared" ref="MYR50:MYR51" si="809">SUM(MYF50:MYQ50)</f>
        <v>0</v>
      </c>
      <c r="MZI50" s="108" t="s">
        <v>90</v>
      </c>
      <c r="MZK50" s="108" t="s">
        <v>63</v>
      </c>
      <c r="MZX50" s="108">
        <f t="shared" ref="MZX50:MZX51" si="810">SUM(MZL50:MZW50)</f>
        <v>0</v>
      </c>
      <c r="NAO50" s="108" t="s">
        <v>90</v>
      </c>
      <c r="NAQ50" s="108" t="s">
        <v>63</v>
      </c>
      <c r="NBD50" s="108">
        <f t="shared" ref="NBD50:NBD51" si="811">SUM(NAR50:NBC50)</f>
        <v>0</v>
      </c>
      <c r="NBU50" s="108" t="s">
        <v>90</v>
      </c>
      <c r="NBW50" s="108" t="s">
        <v>63</v>
      </c>
      <c r="NCJ50" s="108">
        <f t="shared" ref="NCJ50:NCJ51" si="812">SUM(NBX50:NCI50)</f>
        <v>0</v>
      </c>
      <c r="NDA50" s="108" t="s">
        <v>90</v>
      </c>
      <c r="NDC50" s="108" t="s">
        <v>63</v>
      </c>
      <c r="NDP50" s="108">
        <f t="shared" ref="NDP50:NDP51" si="813">SUM(NDD50:NDO50)</f>
        <v>0</v>
      </c>
      <c r="NEG50" s="108" t="s">
        <v>90</v>
      </c>
      <c r="NEI50" s="108" t="s">
        <v>63</v>
      </c>
      <c r="NEV50" s="108">
        <f t="shared" ref="NEV50:NEV51" si="814">SUM(NEJ50:NEU50)</f>
        <v>0</v>
      </c>
      <c r="NFM50" s="108" t="s">
        <v>90</v>
      </c>
      <c r="NFO50" s="108" t="s">
        <v>63</v>
      </c>
      <c r="NGB50" s="108">
        <f t="shared" ref="NGB50:NGB51" si="815">SUM(NFP50:NGA50)</f>
        <v>0</v>
      </c>
      <c r="NGS50" s="108" t="s">
        <v>90</v>
      </c>
      <c r="NGU50" s="108" t="s">
        <v>63</v>
      </c>
      <c r="NHH50" s="108">
        <f t="shared" ref="NHH50:NHH51" si="816">SUM(NGV50:NHG50)</f>
        <v>0</v>
      </c>
      <c r="NHY50" s="108" t="s">
        <v>90</v>
      </c>
      <c r="NIA50" s="108" t="s">
        <v>63</v>
      </c>
      <c r="NIN50" s="108">
        <f t="shared" ref="NIN50:NIN51" si="817">SUM(NIB50:NIM50)</f>
        <v>0</v>
      </c>
      <c r="NJE50" s="108" t="s">
        <v>90</v>
      </c>
      <c r="NJG50" s="108" t="s">
        <v>63</v>
      </c>
      <c r="NJT50" s="108">
        <f t="shared" ref="NJT50:NJT51" si="818">SUM(NJH50:NJS50)</f>
        <v>0</v>
      </c>
      <c r="NKK50" s="108" t="s">
        <v>90</v>
      </c>
      <c r="NKM50" s="108" t="s">
        <v>63</v>
      </c>
      <c r="NKZ50" s="108">
        <f t="shared" ref="NKZ50:NKZ51" si="819">SUM(NKN50:NKY50)</f>
        <v>0</v>
      </c>
      <c r="NLQ50" s="108" t="s">
        <v>90</v>
      </c>
      <c r="NLS50" s="108" t="s">
        <v>63</v>
      </c>
      <c r="NMF50" s="108">
        <f t="shared" ref="NMF50:NMF51" si="820">SUM(NLT50:NME50)</f>
        <v>0</v>
      </c>
      <c r="NMW50" s="108" t="s">
        <v>90</v>
      </c>
      <c r="NMY50" s="108" t="s">
        <v>63</v>
      </c>
      <c r="NNL50" s="108">
        <f t="shared" ref="NNL50:NNL51" si="821">SUM(NMZ50:NNK50)</f>
        <v>0</v>
      </c>
      <c r="NOC50" s="108" t="s">
        <v>90</v>
      </c>
      <c r="NOE50" s="108" t="s">
        <v>63</v>
      </c>
      <c r="NOR50" s="108">
        <f t="shared" ref="NOR50:NOR51" si="822">SUM(NOF50:NOQ50)</f>
        <v>0</v>
      </c>
      <c r="NPI50" s="108" t="s">
        <v>90</v>
      </c>
      <c r="NPK50" s="108" t="s">
        <v>63</v>
      </c>
      <c r="NPX50" s="108">
        <f t="shared" ref="NPX50:NPX51" si="823">SUM(NPL50:NPW50)</f>
        <v>0</v>
      </c>
      <c r="NQO50" s="108" t="s">
        <v>90</v>
      </c>
      <c r="NQQ50" s="108" t="s">
        <v>63</v>
      </c>
      <c r="NRD50" s="108">
        <f t="shared" ref="NRD50:NRD51" si="824">SUM(NQR50:NRC50)</f>
        <v>0</v>
      </c>
      <c r="NRU50" s="108" t="s">
        <v>90</v>
      </c>
      <c r="NRW50" s="108" t="s">
        <v>63</v>
      </c>
      <c r="NSJ50" s="108">
        <f t="shared" ref="NSJ50:NSJ51" si="825">SUM(NRX50:NSI50)</f>
        <v>0</v>
      </c>
      <c r="NTA50" s="108" t="s">
        <v>90</v>
      </c>
      <c r="NTC50" s="108" t="s">
        <v>63</v>
      </c>
      <c r="NTP50" s="108">
        <f t="shared" ref="NTP50:NTP51" si="826">SUM(NTD50:NTO50)</f>
        <v>0</v>
      </c>
      <c r="NUG50" s="108" t="s">
        <v>90</v>
      </c>
      <c r="NUI50" s="108" t="s">
        <v>63</v>
      </c>
      <c r="NUV50" s="108">
        <f t="shared" ref="NUV50:NUV51" si="827">SUM(NUJ50:NUU50)</f>
        <v>0</v>
      </c>
      <c r="NVM50" s="108" t="s">
        <v>90</v>
      </c>
      <c r="NVO50" s="108" t="s">
        <v>63</v>
      </c>
      <c r="NWB50" s="108">
        <f t="shared" ref="NWB50:NWB51" si="828">SUM(NVP50:NWA50)</f>
        <v>0</v>
      </c>
      <c r="NWS50" s="108" t="s">
        <v>90</v>
      </c>
      <c r="NWU50" s="108" t="s">
        <v>63</v>
      </c>
      <c r="NXH50" s="108">
        <f t="shared" ref="NXH50:NXH51" si="829">SUM(NWV50:NXG50)</f>
        <v>0</v>
      </c>
      <c r="NXY50" s="108" t="s">
        <v>90</v>
      </c>
      <c r="NYA50" s="108" t="s">
        <v>63</v>
      </c>
      <c r="NYN50" s="108">
        <f t="shared" ref="NYN50:NYN51" si="830">SUM(NYB50:NYM50)</f>
        <v>0</v>
      </c>
      <c r="NZE50" s="108" t="s">
        <v>90</v>
      </c>
      <c r="NZG50" s="108" t="s">
        <v>63</v>
      </c>
      <c r="NZT50" s="108">
        <f t="shared" ref="NZT50:NZT51" si="831">SUM(NZH50:NZS50)</f>
        <v>0</v>
      </c>
      <c r="OAK50" s="108" t="s">
        <v>90</v>
      </c>
      <c r="OAM50" s="108" t="s">
        <v>63</v>
      </c>
      <c r="OAZ50" s="108">
        <f t="shared" ref="OAZ50:OAZ51" si="832">SUM(OAN50:OAY50)</f>
        <v>0</v>
      </c>
      <c r="OBQ50" s="108" t="s">
        <v>90</v>
      </c>
      <c r="OBS50" s="108" t="s">
        <v>63</v>
      </c>
      <c r="OCF50" s="108">
        <f t="shared" ref="OCF50:OCF51" si="833">SUM(OBT50:OCE50)</f>
        <v>0</v>
      </c>
      <c r="OCW50" s="108" t="s">
        <v>90</v>
      </c>
      <c r="OCY50" s="108" t="s">
        <v>63</v>
      </c>
      <c r="ODL50" s="108">
        <f t="shared" ref="ODL50:ODL51" si="834">SUM(OCZ50:ODK50)</f>
        <v>0</v>
      </c>
      <c r="OEC50" s="108" t="s">
        <v>90</v>
      </c>
      <c r="OEE50" s="108" t="s">
        <v>63</v>
      </c>
      <c r="OER50" s="108">
        <f t="shared" ref="OER50:OER51" si="835">SUM(OEF50:OEQ50)</f>
        <v>0</v>
      </c>
      <c r="OFI50" s="108" t="s">
        <v>90</v>
      </c>
      <c r="OFK50" s="108" t="s">
        <v>63</v>
      </c>
      <c r="OFX50" s="108">
        <f t="shared" ref="OFX50:OFX51" si="836">SUM(OFL50:OFW50)</f>
        <v>0</v>
      </c>
      <c r="OGO50" s="108" t="s">
        <v>90</v>
      </c>
      <c r="OGQ50" s="108" t="s">
        <v>63</v>
      </c>
      <c r="OHD50" s="108">
        <f t="shared" ref="OHD50:OHD51" si="837">SUM(OGR50:OHC50)</f>
        <v>0</v>
      </c>
      <c r="OHU50" s="108" t="s">
        <v>90</v>
      </c>
      <c r="OHW50" s="108" t="s">
        <v>63</v>
      </c>
      <c r="OIJ50" s="108">
        <f t="shared" ref="OIJ50:OIJ51" si="838">SUM(OHX50:OII50)</f>
        <v>0</v>
      </c>
      <c r="OJA50" s="108" t="s">
        <v>90</v>
      </c>
      <c r="OJC50" s="108" t="s">
        <v>63</v>
      </c>
      <c r="OJP50" s="108">
        <f t="shared" ref="OJP50:OJP51" si="839">SUM(OJD50:OJO50)</f>
        <v>0</v>
      </c>
      <c r="OKG50" s="108" t="s">
        <v>90</v>
      </c>
      <c r="OKI50" s="108" t="s">
        <v>63</v>
      </c>
      <c r="OKV50" s="108">
        <f t="shared" ref="OKV50:OKV51" si="840">SUM(OKJ50:OKU50)</f>
        <v>0</v>
      </c>
      <c r="OLM50" s="108" t="s">
        <v>90</v>
      </c>
      <c r="OLO50" s="108" t="s">
        <v>63</v>
      </c>
      <c r="OMB50" s="108">
        <f t="shared" ref="OMB50:OMB51" si="841">SUM(OLP50:OMA50)</f>
        <v>0</v>
      </c>
      <c r="OMS50" s="108" t="s">
        <v>90</v>
      </c>
      <c r="OMU50" s="108" t="s">
        <v>63</v>
      </c>
      <c r="ONH50" s="108">
        <f t="shared" ref="ONH50:ONH51" si="842">SUM(OMV50:ONG50)</f>
        <v>0</v>
      </c>
      <c r="ONY50" s="108" t="s">
        <v>90</v>
      </c>
      <c r="OOA50" s="108" t="s">
        <v>63</v>
      </c>
      <c r="OON50" s="108">
        <f t="shared" ref="OON50:OON51" si="843">SUM(OOB50:OOM50)</f>
        <v>0</v>
      </c>
      <c r="OPE50" s="108" t="s">
        <v>90</v>
      </c>
      <c r="OPG50" s="108" t="s">
        <v>63</v>
      </c>
      <c r="OPT50" s="108">
        <f t="shared" ref="OPT50:OPT51" si="844">SUM(OPH50:OPS50)</f>
        <v>0</v>
      </c>
      <c r="OQK50" s="108" t="s">
        <v>90</v>
      </c>
      <c r="OQM50" s="108" t="s">
        <v>63</v>
      </c>
      <c r="OQZ50" s="108">
        <f t="shared" ref="OQZ50:OQZ51" si="845">SUM(OQN50:OQY50)</f>
        <v>0</v>
      </c>
      <c r="ORQ50" s="108" t="s">
        <v>90</v>
      </c>
      <c r="ORS50" s="108" t="s">
        <v>63</v>
      </c>
      <c r="OSF50" s="108">
        <f t="shared" ref="OSF50:OSF51" si="846">SUM(ORT50:OSE50)</f>
        <v>0</v>
      </c>
      <c r="OSW50" s="108" t="s">
        <v>90</v>
      </c>
      <c r="OSY50" s="108" t="s">
        <v>63</v>
      </c>
      <c r="OTL50" s="108">
        <f t="shared" ref="OTL50:OTL51" si="847">SUM(OSZ50:OTK50)</f>
        <v>0</v>
      </c>
      <c r="OUC50" s="108" t="s">
        <v>90</v>
      </c>
      <c r="OUE50" s="108" t="s">
        <v>63</v>
      </c>
      <c r="OUR50" s="108">
        <f t="shared" ref="OUR50:OUR51" si="848">SUM(OUF50:OUQ50)</f>
        <v>0</v>
      </c>
      <c r="OVI50" s="108" t="s">
        <v>90</v>
      </c>
      <c r="OVK50" s="108" t="s">
        <v>63</v>
      </c>
      <c r="OVX50" s="108">
        <f t="shared" ref="OVX50:OVX51" si="849">SUM(OVL50:OVW50)</f>
        <v>0</v>
      </c>
      <c r="OWO50" s="108" t="s">
        <v>90</v>
      </c>
      <c r="OWQ50" s="108" t="s">
        <v>63</v>
      </c>
      <c r="OXD50" s="108">
        <f t="shared" ref="OXD50:OXD51" si="850">SUM(OWR50:OXC50)</f>
        <v>0</v>
      </c>
      <c r="OXU50" s="108" t="s">
        <v>90</v>
      </c>
      <c r="OXW50" s="108" t="s">
        <v>63</v>
      </c>
      <c r="OYJ50" s="108">
        <f t="shared" ref="OYJ50:OYJ51" si="851">SUM(OXX50:OYI50)</f>
        <v>0</v>
      </c>
      <c r="OZA50" s="108" t="s">
        <v>90</v>
      </c>
      <c r="OZC50" s="108" t="s">
        <v>63</v>
      </c>
      <c r="OZP50" s="108">
        <f t="shared" ref="OZP50:OZP51" si="852">SUM(OZD50:OZO50)</f>
        <v>0</v>
      </c>
      <c r="PAG50" s="108" t="s">
        <v>90</v>
      </c>
      <c r="PAI50" s="108" t="s">
        <v>63</v>
      </c>
      <c r="PAV50" s="108">
        <f t="shared" ref="PAV50:PAV51" si="853">SUM(PAJ50:PAU50)</f>
        <v>0</v>
      </c>
      <c r="PBM50" s="108" t="s">
        <v>90</v>
      </c>
      <c r="PBO50" s="108" t="s">
        <v>63</v>
      </c>
      <c r="PCB50" s="108">
        <f t="shared" ref="PCB50:PCB51" si="854">SUM(PBP50:PCA50)</f>
        <v>0</v>
      </c>
      <c r="PCS50" s="108" t="s">
        <v>90</v>
      </c>
      <c r="PCU50" s="108" t="s">
        <v>63</v>
      </c>
      <c r="PDH50" s="108">
        <f t="shared" ref="PDH50:PDH51" si="855">SUM(PCV50:PDG50)</f>
        <v>0</v>
      </c>
      <c r="PDY50" s="108" t="s">
        <v>90</v>
      </c>
      <c r="PEA50" s="108" t="s">
        <v>63</v>
      </c>
      <c r="PEN50" s="108">
        <f t="shared" ref="PEN50:PEN51" si="856">SUM(PEB50:PEM50)</f>
        <v>0</v>
      </c>
      <c r="PFE50" s="108" t="s">
        <v>90</v>
      </c>
      <c r="PFG50" s="108" t="s">
        <v>63</v>
      </c>
      <c r="PFT50" s="108">
        <f t="shared" ref="PFT50:PFT51" si="857">SUM(PFH50:PFS50)</f>
        <v>0</v>
      </c>
      <c r="PGK50" s="108" t="s">
        <v>90</v>
      </c>
      <c r="PGM50" s="108" t="s">
        <v>63</v>
      </c>
      <c r="PGZ50" s="108">
        <f t="shared" ref="PGZ50:PGZ51" si="858">SUM(PGN50:PGY50)</f>
        <v>0</v>
      </c>
      <c r="PHQ50" s="108" t="s">
        <v>90</v>
      </c>
      <c r="PHS50" s="108" t="s">
        <v>63</v>
      </c>
      <c r="PIF50" s="108">
        <f t="shared" ref="PIF50:PIF51" si="859">SUM(PHT50:PIE50)</f>
        <v>0</v>
      </c>
      <c r="PIW50" s="108" t="s">
        <v>90</v>
      </c>
      <c r="PIY50" s="108" t="s">
        <v>63</v>
      </c>
      <c r="PJL50" s="108">
        <f t="shared" ref="PJL50:PJL51" si="860">SUM(PIZ50:PJK50)</f>
        <v>0</v>
      </c>
      <c r="PKC50" s="108" t="s">
        <v>90</v>
      </c>
      <c r="PKE50" s="108" t="s">
        <v>63</v>
      </c>
      <c r="PKR50" s="108">
        <f t="shared" ref="PKR50:PKR51" si="861">SUM(PKF50:PKQ50)</f>
        <v>0</v>
      </c>
      <c r="PLI50" s="108" t="s">
        <v>90</v>
      </c>
      <c r="PLK50" s="108" t="s">
        <v>63</v>
      </c>
      <c r="PLX50" s="108">
        <f t="shared" ref="PLX50:PLX51" si="862">SUM(PLL50:PLW50)</f>
        <v>0</v>
      </c>
      <c r="PMO50" s="108" t="s">
        <v>90</v>
      </c>
      <c r="PMQ50" s="108" t="s">
        <v>63</v>
      </c>
      <c r="PND50" s="108">
        <f t="shared" ref="PND50:PND51" si="863">SUM(PMR50:PNC50)</f>
        <v>0</v>
      </c>
      <c r="PNU50" s="108" t="s">
        <v>90</v>
      </c>
      <c r="PNW50" s="108" t="s">
        <v>63</v>
      </c>
      <c r="POJ50" s="108">
        <f t="shared" ref="POJ50:POJ51" si="864">SUM(PNX50:POI50)</f>
        <v>0</v>
      </c>
      <c r="PPA50" s="108" t="s">
        <v>90</v>
      </c>
      <c r="PPC50" s="108" t="s">
        <v>63</v>
      </c>
      <c r="PPP50" s="108">
        <f t="shared" ref="PPP50:PPP51" si="865">SUM(PPD50:PPO50)</f>
        <v>0</v>
      </c>
      <c r="PQG50" s="108" t="s">
        <v>90</v>
      </c>
      <c r="PQI50" s="108" t="s">
        <v>63</v>
      </c>
      <c r="PQV50" s="108">
        <f t="shared" ref="PQV50:PQV51" si="866">SUM(PQJ50:PQU50)</f>
        <v>0</v>
      </c>
      <c r="PRM50" s="108" t="s">
        <v>90</v>
      </c>
      <c r="PRO50" s="108" t="s">
        <v>63</v>
      </c>
      <c r="PSB50" s="108">
        <f t="shared" ref="PSB50:PSB51" si="867">SUM(PRP50:PSA50)</f>
        <v>0</v>
      </c>
      <c r="PSS50" s="108" t="s">
        <v>90</v>
      </c>
      <c r="PSU50" s="108" t="s">
        <v>63</v>
      </c>
      <c r="PTH50" s="108">
        <f t="shared" ref="PTH50:PTH51" si="868">SUM(PSV50:PTG50)</f>
        <v>0</v>
      </c>
      <c r="PTY50" s="108" t="s">
        <v>90</v>
      </c>
      <c r="PUA50" s="108" t="s">
        <v>63</v>
      </c>
      <c r="PUN50" s="108">
        <f t="shared" ref="PUN50:PUN51" si="869">SUM(PUB50:PUM50)</f>
        <v>0</v>
      </c>
      <c r="PVE50" s="108" t="s">
        <v>90</v>
      </c>
      <c r="PVG50" s="108" t="s">
        <v>63</v>
      </c>
      <c r="PVT50" s="108">
        <f t="shared" ref="PVT50:PVT51" si="870">SUM(PVH50:PVS50)</f>
        <v>0</v>
      </c>
      <c r="PWK50" s="108" t="s">
        <v>90</v>
      </c>
      <c r="PWM50" s="108" t="s">
        <v>63</v>
      </c>
      <c r="PWZ50" s="108">
        <f t="shared" ref="PWZ50:PWZ51" si="871">SUM(PWN50:PWY50)</f>
        <v>0</v>
      </c>
      <c r="PXQ50" s="108" t="s">
        <v>90</v>
      </c>
      <c r="PXS50" s="108" t="s">
        <v>63</v>
      </c>
      <c r="PYF50" s="108">
        <f t="shared" ref="PYF50:PYF51" si="872">SUM(PXT50:PYE50)</f>
        <v>0</v>
      </c>
      <c r="PYW50" s="108" t="s">
        <v>90</v>
      </c>
      <c r="PYY50" s="108" t="s">
        <v>63</v>
      </c>
      <c r="PZL50" s="108">
        <f t="shared" ref="PZL50:PZL51" si="873">SUM(PYZ50:PZK50)</f>
        <v>0</v>
      </c>
      <c r="QAC50" s="108" t="s">
        <v>90</v>
      </c>
      <c r="QAE50" s="108" t="s">
        <v>63</v>
      </c>
      <c r="QAR50" s="108">
        <f t="shared" ref="QAR50:QAR51" si="874">SUM(QAF50:QAQ50)</f>
        <v>0</v>
      </c>
      <c r="QBI50" s="108" t="s">
        <v>90</v>
      </c>
      <c r="QBK50" s="108" t="s">
        <v>63</v>
      </c>
      <c r="QBX50" s="108">
        <f t="shared" ref="QBX50:QBX51" si="875">SUM(QBL50:QBW50)</f>
        <v>0</v>
      </c>
      <c r="QCO50" s="108" t="s">
        <v>90</v>
      </c>
      <c r="QCQ50" s="108" t="s">
        <v>63</v>
      </c>
      <c r="QDD50" s="108">
        <f t="shared" ref="QDD50:QDD51" si="876">SUM(QCR50:QDC50)</f>
        <v>0</v>
      </c>
      <c r="QDU50" s="108" t="s">
        <v>90</v>
      </c>
      <c r="QDW50" s="108" t="s">
        <v>63</v>
      </c>
      <c r="QEJ50" s="108">
        <f t="shared" ref="QEJ50:QEJ51" si="877">SUM(QDX50:QEI50)</f>
        <v>0</v>
      </c>
      <c r="QFA50" s="108" t="s">
        <v>90</v>
      </c>
      <c r="QFC50" s="108" t="s">
        <v>63</v>
      </c>
      <c r="QFP50" s="108">
        <f t="shared" ref="QFP50:QFP51" si="878">SUM(QFD50:QFO50)</f>
        <v>0</v>
      </c>
      <c r="QGG50" s="108" t="s">
        <v>90</v>
      </c>
      <c r="QGI50" s="108" t="s">
        <v>63</v>
      </c>
      <c r="QGV50" s="108">
        <f t="shared" ref="QGV50:QGV51" si="879">SUM(QGJ50:QGU50)</f>
        <v>0</v>
      </c>
      <c r="QHM50" s="108" t="s">
        <v>90</v>
      </c>
      <c r="QHO50" s="108" t="s">
        <v>63</v>
      </c>
      <c r="QIB50" s="108">
        <f t="shared" ref="QIB50:QIB51" si="880">SUM(QHP50:QIA50)</f>
        <v>0</v>
      </c>
      <c r="QIS50" s="108" t="s">
        <v>90</v>
      </c>
      <c r="QIU50" s="108" t="s">
        <v>63</v>
      </c>
      <c r="QJH50" s="108">
        <f t="shared" ref="QJH50:QJH51" si="881">SUM(QIV50:QJG50)</f>
        <v>0</v>
      </c>
      <c r="QJY50" s="108" t="s">
        <v>90</v>
      </c>
      <c r="QKA50" s="108" t="s">
        <v>63</v>
      </c>
      <c r="QKN50" s="108">
        <f t="shared" ref="QKN50:QKN51" si="882">SUM(QKB50:QKM50)</f>
        <v>0</v>
      </c>
      <c r="QLE50" s="108" t="s">
        <v>90</v>
      </c>
      <c r="QLG50" s="108" t="s">
        <v>63</v>
      </c>
      <c r="QLT50" s="108">
        <f t="shared" ref="QLT50:QLT51" si="883">SUM(QLH50:QLS50)</f>
        <v>0</v>
      </c>
      <c r="QMK50" s="108" t="s">
        <v>90</v>
      </c>
      <c r="QMM50" s="108" t="s">
        <v>63</v>
      </c>
      <c r="QMZ50" s="108">
        <f t="shared" ref="QMZ50:QMZ51" si="884">SUM(QMN50:QMY50)</f>
        <v>0</v>
      </c>
      <c r="QNQ50" s="108" t="s">
        <v>90</v>
      </c>
      <c r="QNS50" s="108" t="s">
        <v>63</v>
      </c>
      <c r="QOF50" s="108">
        <f t="shared" ref="QOF50:QOF51" si="885">SUM(QNT50:QOE50)</f>
        <v>0</v>
      </c>
      <c r="QOW50" s="108" t="s">
        <v>90</v>
      </c>
      <c r="QOY50" s="108" t="s">
        <v>63</v>
      </c>
      <c r="QPL50" s="108">
        <f t="shared" ref="QPL50:QPL51" si="886">SUM(QOZ50:QPK50)</f>
        <v>0</v>
      </c>
      <c r="QQC50" s="108" t="s">
        <v>90</v>
      </c>
      <c r="QQE50" s="108" t="s">
        <v>63</v>
      </c>
      <c r="QQR50" s="108">
        <f t="shared" ref="QQR50:QQR51" si="887">SUM(QQF50:QQQ50)</f>
        <v>0</v>
      </c>
      <c r="QRI50" s="108" t="s">
        <v>90</v>
      </c>
      <c r="QRK50" s="108" t="s">
        <v>63</v>
      </c>
      <c r="QRX50" s="108">
        <f t="shared" ref="QRX50:QRX51" si="888">SUM(QRL50:QRW50)</f>
        <v>0</v>
      </c>
      <c r="QSO50" s="108" t="s">
        <v>90</v>
      </c>
      <c r="QSQ50" s="108" t="s">
        <v>63</v>
      </c>
      <c r="QTD50" s="108">
        <f t="shared" ref="QTD50:QTD51" si="889">SUM(QSR50:QTC50)</f>
        <v>0</v>
      </c>
      <c r="QTU50" s="108" t="s">
        <v>90</v>
      </c>
      <c r="QTW50" s="108" t="s">
        <v>63</v>
      </c>
      <c r="QUJ50" s="108">
        <f t="shared" ref="QUJ50:QUJ51" si="890">SUM(QTX50:QUI50)</f>
        <v>0</v>
      </c>
      <c r="QVA50" s="108" t="s">
        <v>90</v>
      </c>
      <c r="QVC50" s="108" t="s">
        <v>63</v>
      </c>
      <c r="QVP50" s="108">
        <f t="shared" ref="QVP50:QVP51" si="891">SUM(QVD50:QVO50)</f>
        <v>0</v>
      </c>
      <c r="QWG50" s="108" t="s">
        <v>90</v>
      </c>
      <c r="QWI50" s="108" t="s">
        <v>63</v>
      </c>
      <c r="QWV50" s="108">
        <f t="shared" ref="QWV50:QWV51" si="892">SUM(QWJ50:QWU50)</f>
        <v>0</v>
      </c>
      <c r="QXM50" s="108" t="s">
        <v>90</v>
      </c>
      <c r="QXO50" s="108" t="s">
        <v>63</v>
      </c>
      <c r="QYB50" s="108">
        <f t="shared" ref="QYB50:QYB51" si="893">SUM(QXP50:QYA50)</f>
        <v>0</v>
      </c>
      <c r="QYS50" s="108" t="s">
        <v>90</v>
      </c>
      <c r="QYU50" s="108" t="s">
        <v>63</v>
      </c>
      <c r="QZH50" s="108">
        <f t="shared" ref="QZH50:QZH51" si="894">SUM(QYV50:QZG50)</f>
        <v>0</v>
      </c>
      <c r="QZY50" s="108" t="s">
        <v>90</v>
      </c>
      <c r="RAA50" s="108" t="s">
        <v>63</v>
      </c>
      <c r="RAN50" s="108">
        <f t="shared" ref="RAN50:RAN51" si="895">SUM(RAB50:RAM50)</f>
        <v>0</v>
      </c>
      <c r="RBE50" s="108" t="s">
        <v>90</v>
      </c>
      <c r="RBG50" s="108" t="s">
        <v>63</v>
      </c>
      <c r="RBT50" s="108">
        <f t="shared" ref="RBT50:RBT51" si="896">SUM(RBH50:RBS50)</f>
        <v>0</v>
      </c>
      <c r="RCK50" s="108" t="s">
        <v>90</v>
      </c>
      <c r="RCM50" s="108" t="s">
        <v>63</v>
      </c>
      <c r="RCZ50" s="108">
        <f t="shared" ref="RCZ50:RCZ51" si="897">SUM(RCN50:RCY50)</f>
        <v>0</v>
      </c>
      <c r="RDQ50" s="108" t="s">
        <v>90</v>
      </c>
      <c r="RDS50" s="108" t="s">
        <v>63</v>
      </c>
      <c r="REF50" s="108">
        <f t="shared" ref="REF50:REF51" si="898">SUM(RDT50:REE50)</f>
        <v>0</v>
      </c>
      <c r="REW50" s="108" t="s">
        <v>90</v>
      </c>
      <c r="REY50" s="108" t="s">
        <v>63</v>
      </c>
      <c r="RFL50" s="108">
        <f t="shared" ref="RFL50:RFL51" si="899">SUM(REZ50:RFK50)</f>
        <v>0</v>
      </c>
      <c r="RGC50" s="108" t="s">
        <v>90</v>
      </c>
      <c r="RGE50" s="108" t="s">
        <v>63</v>
      </c>
      <c r="RGR50" s="108">
        <f t="shared" ref="RGR50:RGR51" si="900">SUM(RGF50:RGQ50)</f>
        <v>0</v>
      </c>
      <c r="RHI50" s="108" t="s">
        <v>90</v>
      </c>
      <c r="RHK50" s="108" t="s">
        <v>63</v>
      </c>
      <c r="RHX50" s="108">
        <f t="shared" ref="RHX50:RHX51" si="901">SUM(RHL50:RHW50)</f>
        <v>0</v>
      </c>
      <c r="RIO50" s="108" t="s">
        <v>90</v>
      </c>
      <c r="RIQ50" s="108" t="s">
        <v>63</v>
      </c>
      <c r="RJD50" s="108">
        <f t="shared" ref="RJD50:RJD51" si="902">SUM(RIR50:RJC50)</f>
        <v>0</v>
      </c>
      <c r="RJU50" s="108" t="s">
        <v>90</v>
      </c>
      <c r="RJW50" s="108" t="s">
        <v>63</v>
      </c>
      <c r="RKJ50" s="108">
        <f t="shared" ref="RKJ50:RKJ51" si="903">SUM(RJX50:RKI50)</f>
        <v>0</v>
      </c>
      <c r="RLA50" s="108" t="s">
        <v>90</v>
      </c>
      <c r="RLC50" s="108" t="s">
        <v>63</v>
      </c>
      <c r="RLP50" s="108">
        <f t="shared" ref="RLP50:RLP51" si="904">SUM(RLD50:RLO50)</f>
        <v>0</v>
      </c>
      <c r="RMG50" s="108" t="s">
        <v>90</v>
      </c>
      <c r="RMI50" s="108" t="s">
        <v>63</v>
      </c>
      <c r="RMV50" s="108">
        <f t="shared" ref="RMV50:RMV51" si="905">SUM(RMJ50:RMU50)</f>
        <v>0</v>
      </c>
      <c r="RNM50" s="108" t="s">
        <v>90</v>
      </c>
      <c r="RNO50" s="108" t="s">
        <v>63</v>
      </c>
      <c r="ROB50" s="108">
        <f t="shared" ref="ROB50:ROB51" si="906">SUM(RNP50:ROA50)</f>
        <v>0</v>
      </c>
      <c r="ROS50" s="108" t="s">
        <v>90</v>
      </c>
      <c r="ROU50" s="108" t="s">
        <v>63</v>
      </c>
      <c r="RPH50" s="108">
        <f t="shared" ref="RPH50:RPH51" si="907">SUM(ROV50:RPG50)</f>
        <v>0</v>
      </c>
      <c r="RPY50" s="108" t="s">
        <v>90</v>
      </c>
      <c r="RQA50" s="108" t="s">
        <v>63</v>
      </c>
      <c r="RQN50" s="108">
        <f t="shared" ref="RQN50:RQN51" si="908">SUM(RQB50:RQM50)</f>
        <v>0</v>
      </c>
      <c r="RRE50" s="108" t="s">
        <v>90</v>
      </c>
      <c r="RRG50" s="108" t="s">
        <v>63</v>
      </c>
      <c r="RRT50" s="108">
        <f t="shared" ref="RRT50:RRT51" si="909">SUM(RRH50:RRS50)</f>
        <v>0</v>
      </c>
      <c r="RSK50" s="108" t="s">
        <v>90</v>
      </c>
      <c r="RSM50" s="108" t="s">
        <v>63</v>
      </c>
      <c r="RSZ50" s="108">
        <f t="shared" ref="RSZ50:RSZ51" si="910">SUM(RSN50:RSY50)</f>
        <v>0</v>
      </c>
      <c r="RTQ50" s="108" t="s">
        <v>90</v>
      </c>
      <c r="RTS50" s="108" t="s">
        <v>63</v>
      </c>
      <c r="RUF50" s="108">
        <f t="shared" ref="RUF50:RUF51" si="911">SUM(RTT50:RUE50)</f>
        <v>0</v>
      </c>
      <c r="RUW50" s="108" t="s">
        <v>90</v>
      </c>
      <c r="RUY50" s="108" t="s">
        <v>63</v>
      </c>
      <c r="RVL50" s="108">
        <f t="shared" ref="RVL50:RVL51" si="912">SUM(RUZ50:RVK50)</f>
        <v>0</v>
      </c>
      <c r="RWC50" s="108" t="s">
        <v>90</v>
      </c>
      <c r="RWE50" s="108" t="s">
        <v>63</v>
      </c>
      <c r="RWR50" s="108">
        <f t="shared" ref="RWR50:RWR51" si="913">SUM(RWF50:RWQ50)</f>
        <v>0</v>
      </c>
      <c r="RXI50" s="108" t="s">
        <v>90</v>
      </c>
      <c r="RXK50" s="108" t="s">
        <v>63</v>
      </c>
      <c r="RXX50" s="108">
        <f t="shared" ref="RXX50:RXX51" si="914">SUM(RXL50:RXW50)</f>
        <v>0</v>
      </c>
      <c r="RYO50" s="108" t="s">
        <v>90</v>
      </c>
      <c r="RYQ50" s="108" t="s">
        <v>63</v>
      </c>
      <c r="RZD50" s="108">
        <f t="shared" ref="RZD50:RZD51" si="915">SUM(RYR50:RZC50)</f>
        <v>0</v>
      </c>
      <c r="RZU50" s="108" t="s">
        <v>90</v>
      </c>
      <c r="RZW50" s="108" t="s">
        <v>63</v>
      </c>
      <c r="SAJ50" s="108">
        <f t="shared" ref="SAJ50:SAJ51" si="916">SUM(RZX50:SAI50)</f>
        <v>0</v>
      </c>
      <c r="SBA50" s="108" t="s">
        <v>90</v>
      </c>
      <c r="SBC50" s="108" t="s">
        <v>63</v>
      </c>
      <c r="SBP50" s="108">
        <f t="shared" ref="SBP50:SBP51" si="917">SUM(SBD50:SBO50)</f>
        <v>0</v>
      </c>
      <c r="SCG50" s="108" t="s">
        <v>90</v>
      </c>
      <c r="SCI50" s="108" t="s">
        <v>63</v>
      </c>
      <c r="SCV50" s="108">
        <f t="shared" ref="SCV50:SCV51" si="918">SUM(SCJ50:SCU50)</f>
        <v>0</v>
      </c>
      <c r="SDM50" s="108" t="s">
        <v>90</v>
      </c>
      <c r="SDO50" s="108" t="s">
        <v>63</v>
      </c>
      <c r="SEB50" s="108">
        <f t="shared" ref="SEB50:SEB51" si="919">SUM(SDP50:SEA50)</f>
        <v>0</v>
      </c>
      <c r="SES50" s="108" t="s">
        <v>90</v>
      </c>
      <c r="SEU50" s="108" t="s">
        <v>63</v>
      </c>
      <c r="SFH50" s="108">
        <f t="shared" ref="SFH50:SFH51" si="920">SUM(SEV50:SFG50)</f>
        <v>0</v>
      </c>
      <c r="SFY50" s="108" t="s">
        <v>90</v>
      </c>
      <c r="SGA50" s="108" t="s">
        <v>63</v>
      </c>
      <c r="SGN50" s="108">
        <f t="shared" ref="SGN50:SGN51" si="921">SUM(SGB50:SGM50)</f>
        <v>0</v>
      </c>
      <c r="SHE50" s="108" t="s">
        <v>90</v>
      </c>
      <c r="SHG50" s="108" t="s">
        <v>63</v>
      </c>
      <c r="SHT50" s="108">
        <f t="shared" ref="SHT50:SHT51" si="922">SUM(SHH50:SHS50)</f>
        <v>0</v>
      </c>
      <c r="SIK50" s="108" t="s">
        <v>90</v>
      </c>
      <c r="SIM50" s="108" t="s">
        <v>63</v>
      </c>
      <c r="SIZ50" s="108">
        <f t="shared" ref="SIZ50:SIZ51" si="923">SUM(SIN50:SIY50)</f>
        <v>0</v>
      </c>
      <c r="SJQ50" s="108" t="s">
        <v>90</v>
      </c>
      <c r="SJS50" s="108" t="s">
        <v>63</v>
      </c>
      <c r="SKF50" s="108">
        <f t="shared" ref="SKF50:SKF51" si="924">SUM(SJT50:SKE50)</f>
        <v>0</v>
      </c>
      <c r="SKW50" s="108" t="s">
        <v>90</v>
      </c>
      <c r="SKY50" s="108" t="s">
        <v>63</v>
      </c>
      <c r="SLL50" s="108">
        <f t="shared" ref="SLL50:SLL51" si="925">SUM(SKZ50:SLK50)</f>
        <v>0</v>
      </c>
      <c r="SMC50" s="108" t="s">
        <v>90</v>
      </c>
      <c r="SME50" s="108" t="s">
        <v>63</v>
      </c>
      <c r="SMR50" s="108">
        <f t="shared" ref="SMR50:SMR51" si="926">SUM(SMF50:SMQ50)</f>
        <v>0</v>
      </c>
      <c r="SNI50" s="108" t="s">
        <v>90</v>
      </c>
      <c r="SNK50" s="108" t="s">
        <v>63</v>
      </c>
      <c r="SNX50" s="108">
        <f t="shared" ref="SNX50:SNX51" si="927">SUM(SNL50:SNW50)</f>
        <v>0</v>
      </c>
      <c r="SOO50" s="108" t="s">
        <v>90</v>
      </c>
      <c r="SOQ50" s="108" t="s">
        <v>63</v>
      </c>
      <c r="SPD50" s="108">
        <f t="shared" ref="SPD50:SPD51" si="928">SUM(SOR50:SPC50)</f>
        <v>0</v>
      </c>
      <c r="SPU50" s="108" t="s">
        <v>90</v>
      </c>
      <c r="SPW50" s="108" t="s">
        <v>63</v>
      </c>
      <c r="SQJ50" s="108">
        <f t="shared" ref="SQJ50:SQJ51" si="929">SUM(SPX50:SQI50)</f>
        <v>0</v>
      </c>
      <c r="SRA50" s="108" t="s">
        <v>90</v>
      </c>
      <c r="SRC50" s="108" t="s">
        <v>63</v>
      </c>
      <c r="SRP50" s="108">
        <f t="shared" ref="SRP50:SRP51" si="930">SUM(SRD50:SRO50)</f>
        <v>0</v>
      </c>
      <c r="SSG50" s="108" t="s">
        <v>90</v>
      </c>
      <c r="SSI50" s="108" t="s">
        <v>63</v>
      </c>
      <c r="SSV50" s="108">
        <f t="shared" ref="SSV50:SSV51" si="931">SUM(SSJ50:SSU50)</f>
        <v>0</v>
      </c>
      <c r="STM50" s="108" t="s">
        <v>90</v>
      </c>
      <c r="STO50" s="108" t="s">
        <v>63</v>
      </c>
      <c r="SUB50" s="108">
        <f t="shared" ref="SUB50:SUB51" si="932">SUM(STP50:SUA50)</f>
        <v>0</v>
      </c>
      <c r="SUS50" s="108" t="s">
        <v>90</v>
      </c>
      <c r="SUU50" s="108" t="s">
        <v>63</v>
      </c>
      <c r="SVH50" s="108">
        <f t="shared" ref="SVH50:SVH51" si="933">SUM(SUV50:SVG50)</f>
        <v>0</v>
      </c>
      <c r="SVY50" s="108" t="s">
        <v>90</v>
      </c>
      <c r="SWA50" s="108" t="s">
        <v>63</v>
      </c>
      <c r="SWN50" s="108">
        <f t="shared" ref="SWN50:SWN51" si="934">SUM(SWB50:SWM50)</f>
        <v>0</v>
      </c>
      <c r="SXE50" s="108" t="s">
        <v>90</v>
      </c>
      <c r="SXG50" s="108" t="s">
        <v>63</v>
      </c>
      <c r="SXT50" s="108">
        <f t="shared" ref="SXT50:SXT51" si="935">SUM(SXH50:SXS50)</f>
        <v>0</v>
      </c>
      <c r="SYK50" s="108" t="s">
        <v>90</v>
      </c>
      <c r="SYM50" s="108" t="s">
        <v>63</v>
      </c>
      <c r="SYZ50" s="108">
        <f t="shared" ref="SYZ50:SYZ51" si="936">SUM(SYN50:SYY50)</f>
        <v>0</v>
      </c>
      <c r="SZQ50" s="108" t="s">
        <v>90</v>
      </c>
      <c r="SZS50" s="108" t="s">
        <v>63</v>
      </c>
      <c r="TAF50" s="108">
        <f t="shared" ref="TAF50:TAF51" si="937">SUM(SZT50:TAE50)</f>
        <v>0</v>
      </c>
      <c r="TAW50" s="108" t="s">
        <v>90</v>
      </c>
      <c r="TAY50" s="108" t="s">
        <v>63</v>
      </c>
      <c r="TBL50" s="108">
        <f t="shared" ref="TBL50:TBL51" si="938">SUM(TAZ50:TBK50)</f>
        <v>0</v>
      </c>
      <c r="TCC50" s="108" t="s">
        <v>90</v>
      </c>
      <c r="TCE50" s="108" t="s">
        <v>63</v>
      </c>
      <c r="TCR50" s="108">
        <f t="shared" ref="TCR50:TCR51" si="939">SUM(TCF50:TCQ50)</f>
        <v>0</v>
      </c>
      <c r="TDI50" s="108" t="s">
        <v>90</v>
      </c>
      <c r="TDK50" s="108" t="s">
        <v>63</v>
      </c>
      <c r="TDX50" s="108">
        <f t="shared" ref="TDX50:TDX51" si="940">SUM(TDL50:TDW50)</f>
        <v>0</v>
      </c>
      <c r="TEO50" s="108" t="s">
        <v>90</v>
      </c>
      <c r="TEQ50" s="108" t="s">
        <v>63</v>
      </c>
      <c r="TFD50" s="108">
        <f t="shared" ref="TFD50:TFD51" si="941">SUM(TER50:TFC50)</f>
        <v>0</v>
      </c>
      <c r="TFU50" s="108" t="s">
        <v>90</v>
      </c>
      <c r="TFW50" s="108" t="s">
        <v>63</v>
      </c>
      <c r="TGJ50" s="108">
        <f t="shared" ref="TGJ50:TGJ51" si="942">SUM(TFX50:TGI50)</f>
        <v>0</v>
      </c>
      <c r="THA50" s="108" t="s">
        <v>90</v>
      </c>
      <c r="THC50" s="108" t="s">
        <v>63</v>
      </c>
      <c r="THP50" s="108">
        <f t="shared" ref="THP50:THP51" si="943">SUM(THD50:THO50)</f>
        <v>0</v>
      </c>
      <c r="TIG50" s="108" t="s">
        <v>90</v>
      </c>
      <c r="TII50" s="108" t="s">
        <v>63</v>
      </c>
      <c r="TIV50" s="108">
        <f t="shared" ref="TIV50:TIV51" si="944">SUM(TIJ50:TIU50)</f>
        <v>0</v>
      </c>
      <c r="TJM50" s="108" t="s">
        <v>90</v>
      </c>
      <c r="TJO50" s="108" t="s">
        <v>63</v>
      </c>
      <c r="TKB50" s="108">
        <f t="shared" ref="TKB50:TKB51" si="945">SUM(TJP50:TKA50)</f>
        <v>0</v>
      </c>
      <c r="TKS50" s="108" t="s">
        <v>90</v>
      </c>
      <c r="TKU50" s="108" t="s">
        <v>63</v>
      </c>
      <c r="TLH50" s="108">
        <f t="shared" ref="TLH50:TLH51" si="946">SUM(TKV50:TLG50)</f>
        <v>0</v>
      </c>
      <c r="TLY50" s="108" t="s">
        <v>90</v>
      </c>
      <c r="TMA50" s="108" t="s">
        <v>63</v>
      </c>
      <c r="TMN50" s="108">
        <f t="shared" ref="TMN50:TMN51" si="947">SUM(TMB50:TMM50)</f>
        <v>0</v>
      </c>
      <c r="TNE50" s="108" t="s">
        <v>90</v>
      </c>
      <c r="TNG50" s="108" t="s">
        <v>63</v>
      </c>
      <c r="TNT50" s="108">
        <f t="shared" ref="TNT50:TNT51" si="948">SUM(TNH50:TNS50)</f>
        <v>0</v>
      </c>
      <c r="TOK50" s="108" t="s">
        <v>90</v>
      </c>
      <c r="TOM50" s="108" t="s">
        <v>63</v>
      </c>
      <c r="TOZ50" s="108">
        <f t="shared" ref="TOZ50:TOZ51" si="949">SUM(TON50:TOY50)</f>
        <v>0</v>
      </c>
      <c r="TPQ50" s="108" t="s">
        <v>90</v>
      </c>
      <c r="TPS50" s="108" t="s">
        <v>63</v>
      </c>
      <c r="TQF50" s="108">
        <f t="shared" ref="TQF50:TQF51" si="950">SUM(TPT50:TQE50)</f>
        <v>0</v>
      </c>
      <c r="TQW50" s="108" t="s">
        <v>90</v>
      </c>
      <c r="TQY50" s="108" t="s">
        <v>63</v>
      </c>
      <c r="TRL50" s="108">
        <f t="shared" ref="TRL50:TRL51" si="951">SUM(TQZ50:TRK50)</f>
        <v>0</v>
      </c>
      <c r="TSC50" s="108" t="s">
        <v>90</v>
      </c>
      <c r="TSE50" s="108" t="s">
        <v>63</v>
      </c>
      <c r="TSR50" s="108">
        <f t="shared" ref="TSR50:TSR51" si="952">SUM(TSF50:TSQ50)</f>
        <v>0</v>
      </c>
      <c r="TTI50" s="108" t="s">
        <v>90</v>
      </c>
      <c r="TTK50" s="108" t="s">
        <v>63</v>
      </c>
      <c r="TTX50" s="108">
        <f t="shared" ref="TTX50:TTX51" si="953">SUM(TTL50:TTW50)</f>
        <v>0</v>
      </c>
      <c r="TUO50" s="108" t="s">
        <v>90</v>
      </c>
      <c r="TUQ50" s="108" t="s">
        <v>63</v>
      </c>
      <c r="TVD50" s="108">
        <f t="shared" ref="TVD50:TVD51" si="954">SUM(TUR50:TVC50)</f>
        <v>0</v>
      </c>
      <c r="TVU50" s="108" t="s">
        <v>90</v>
      </c>
      <c r="TVW50" s="108" t="s">
        <v>63</v>
      </c>
      <c r="TWJ50" s="108">
        <f t="shared" ref="TWJ50:TWJ51" si="955">SUM(TVX50:TWI50)</f>
        <v>0</v>
      </c>
      <c r="TXA50" s="108" t="s">
        <v>90</v>
      </c>
      <c r="TXC50" s="108" t="s">
        <v>63</v>
      </c>
      <c r="TXP50" s="108">
        <f t="shared" ref="TXP50:TXP51" si="956">SUM(TXD50:TXO50)</f>
        <v>0</v>
      </c>
      <c r="TYG50" s="108" t="s">
        <v>90</v>
      </c>
      <c r="TYI50" s="108" t="s">
        <v>63</v>
      </c>
      <c r="TYV50" s="108">
        <f t="shared" ref="TYV50:TYV51" si="957">SUM(TYJ50:TYU50)</f>
        <v>0</v>
      </c>
      <c r="TZM50" s="108" t="s">
        <v>90</v>
      </c>
      <c r="TZO50" s="108" t="s">
        <v>63</v>
      </c>
      <c r="UAB50" s="108">
        <f t="shared" ref="UAB50:UAB51" si="958">SUM(TZP50:UAA50)</f>
        <v>0</v>
      </c>
      <c r="UAS50" s="108" t="s">
        <v>90</v>
      </c>
      <c r="UAU50" s="108" t="s">
        <v>63</v>
      </c>
      <c r="UBH50" s="108">
        <f t="shared" ref="UBH50:UBH51" si="959">SUM(UAV50:UBG50)</f>
        <v>0</v>
      </c>
      <c r="UBY50" s="108" t="s">
        <v>90</v>
      </c>
      <c r="UCA50" s="108" t="s">
        <v>63</v>
      </c>
      <c r="UCN50" s="108">
        <f t="shared" ref="UCN50:UCN51" si="960">SUM(UCB50:UCM50)</f>
        <v>0</v>
      </c>
      <c r="UDE50" s="108" t="s">
        <v>90</v>
      </c>
      <c r="UDG50" s="108" t="s">
        <v>63</v>
      </c>
      <c r="UDT50" s="108">
        <f t="shared" ref="UDT50:UDT51" si="961">SUM(UDH50:UDS50)</f>
        <v>0</v>
      </c>
      <c r="UEK50" s="108" t="s">
        <v>90</v>
      </c>
      <c r="UEM50" s="108" t="s">
        <v>63</v>
      </c>
      <c r="UEZ50" s="108">
        <f t="shared" ref="UEZ50:UEZ51" si="962">SUM(UEN50:UEY50)</f>
        <v>0</v>
      </c>
      <c r="UFQ50" s="108" t="s">
        <v>90</v>
      </c>
      <c r="UFS50" s="108" t="s">
        <v>63</v>
      </c>
      <c r="UGF50" s="108">
        <f t="shared" ref="UGF50:UGF51" si="963">SUM(UFT50:UGE50)</f>
        <v>0</v>
      </c>
      <c r="UGW50" s="108" t="s">
        <v>90</v>
      </c>
      <c r="UGY50" s="108" t="s">
        <v>63</v>
      </c>
      <c r="UHL50" s="108">
        <f t="shared" ref="UHL50:UHL51" si="964">SUM(UGZ50:UHK50)</f>
        <v>0</v>
      </c>
      <c r="UIC50" s="108" t="s">
        <v>90</v>
      </c>
      <c r="UIE50" s="108" t="s">
        <v>63</v>
      </c>
      <c r="UIR50" s="108">
        <f t="shared" ref="UIR50:UIR51" si="965">SUM(UIF50:UIQ50)</f>
        <v>0</v>
      </c>
      <c r="UJI50" s="108" t="s">
        <v>90</v>
      </c>
      <c r="UJK50" s="108" t="s">
        <v>63</v>
      </c>
      <c r="UJX50" s="108">
        <f t="shared" ref="UJX50:UJX51" si="966">SUM(UJL50:UJW50)</f>
        <v>0</v>
      </c>
      <c r="UKO50" s="108" t="s">
        <v>90</v>
      </c>
      <c r="UKQ50" s="108" t="s">
        <v>63</v>
      </c>
      <c r="ULD50" s="108">
        <f t="shared" ref="ULD50:ULD51" si="967">SUM(UKR50:ULC50)</f>
        <v>0</v>
      </c>
      <c r="ULU50" s="108" t="s">
        <v>90</v>
      </c>
      <c r="ULW50" s="108" t="s">
        <v>63</v>
      </c>
      <c r="UMJ50" s="108">
        <f t="shared" ref="UMJ50:UMJ51" si="968">SUM(ULX50:UMI50)</f>
        <v>0</v>
      </c>
      <c r="UNA50" s="108" t="s">
        <v>90</v>
      </c>
      <c r="UNC50" s="108" t="s">
        <v>63</v>
      </c>
      <c r="UNP50" s="108">
        <f t="shared" ref="UNP50:UNP51" si="969">SUM(UND50:UNO50)</f>
        <v>0</v>
      </c>
      <c r="UOG50" s="108" t="s">
        <v>90</v>
      </c>
      <c r="UOI50" s="108" t="s">
        <v>63</v>
      </c>
      <c r="UOV50" s="108">
        <f t="shared" ref="UOV50:UOV51" si="970">SUM(UOJ50:UOU50)</f>
        <v>0</v>
      </c>
      <c r="UPM50" s="108" t="s">
        <v>90</v>
      </c>
      <c r="UPO50" s="108" t="s">
        <v>63</v>
      </c>
      <c r="UQB50" s="108">
        <f t="shared" ref="UQB50:UQB51" si="971">SUM(UPP50:UQA50)</f>
        <v>0</v>
      </c>
      <c r="UQS50" s="108" t="s">
        <v>90</v>
      </c>
      <c r="UQU50" s="108" t="s">
        <v>63</v>
      </c>
      <c r="URH50" s="108">
        <f t="shared" ref="URH50:URH51" si="972">SUM(UQV50:URG50)</f>
        <v>0</v>
      </c>
      <c r="URY50" s="108" t="s">
        <v>90</v>
      </c>
      <c r="USA50" s="108" t="s">
        <v>63</v>
      </c>
      <c r="USN50" s="108">
        <f t="shared" ref="USN50:USN51" si="973">SUM(USB50:USM50)</f>
        <v>0</v>
      </c>
      <c r="UTE50" s="108" t="s">
        <v>90</v>
      </c>
      <c r="UTG50" s="108" t="s">
        <v>63</v>
      </c>
      <c r="UTT50" s="108">
        <f t="shared" ref="UTT50:UTT51" si="974">SUM(UTH50:UTS50)</f>
        <v>0</v>
      </c>
      <c r="UUK50" s="108" t="s">
        <v>90</v>
      </c>
      <c r="UUM50" s="108" t="s">
        <v>63</v>
      </c>
      <c r="UUZ50" s="108">
        <f t="shared" ref="UUZ50:UUZ51" si="975">SUM(UUN50:UUY50)</f>
        <v>0</v>
      </c>
      <c r="UVQ50" s="108" t="s">
        <v>90</v>
      </c>
      <c r="UVS50" s="108" t="s">
        <v>63</v>
      </c>
      <c r="UWF50" s="108">
        <f t="shared" ref="UWF50:UWF51" si="976">SUM(UVT50:UWE50)</f>
        <v>0</v>
      </c>
      <c r="UWW50" s="108" t="s">
        <v>90</v>
      </c>
      <c r="UWY50" s="108" t="s">
        <v>63</v>
      </c>
      <c r="UXL50" s="108">
        <f t="shared" ref="UXL50:UXL51" si="977">SUM(UWZ50:UXK50)</f>
        <v>0</v>
      </c>
      <c r="UYC50" s="108" t="s">
        <v>90</v>
      </c>
      <c r="UYE50" s="108" t="s">
        <v>63</v>
      </c>
      <c r="UYR50" s="108">
        <f t="shared" ref="UYR50:UYR51" si="978">SUM(UYF50:UYQ50)</f>
        <v>0</v>
      </c>
      <c r="UZI50" s="108" t="s">
        <v>90</v>
      </c>
      <c r="UZK50" s="108" t="s">
        <v>63</v>
      </c>
      <c r="UZX50" s="108">
        <f t="shared" ref="UZX50:UZX51" si="979">SUM(UZL50:UZW50)</f>
        <v>0</v>
      </c>
      <c r="VAO50" s="108" t="s">
        <v>90</v>
      </c>
      <c r="VAQ50" s="108" t="s">
        <v>63</v>
      </c>
      <c r="VBD50" s="108">
        <f t="shared" ref="VBD50:VBD51" si="980">SUM(VAR50:VBC50)</f>
        <v>0</v>
      </c>
      <c r="VBU50" s="108" t="s">
        <v>90</v>
      </c>
      <c r="VBW50" s="108" t="s">
        <v>63</v>
      </c>
      <c r="VCJ50" s="108">
        <f t="shared" ref="VCJ50:VCJ51" si="981">SUM(VBX50:VCI50)</f>
        <v>0</v>
      </c>
      <c r="VDA50" s="108" t="s">
        <v>90</v>
      </c>
      <c r="VDC50" s="108" t="s">
        <v>63</v>
      </c>
      <c r="VDP50" s="108">
        <f t="shared" ref="VDP50:VDP51" si="982">SUM(VDD50:VDO50)</f>
        <v>0</v>
      </c>
      <c r="VEG50" s="108" t="s">
        <v>90</v>
      </c>
      <c r="VEI50" s="108" t="s">
        <v>63</v>
      </c>
      <c r="VEV50" s="108">
        <f t="shared" ref="VEV50:VEV51" si="983">SUM(VEJ50:VEU50)</f>
        <v>0</v>
      </c>
      <c r="VFM50" s="108" t="s">
        <v>90</v>
      </c>
      <c r="VFO50" s="108" t="s">
        <v>63</v>
      </c>
      <c r="VGB50" s="108">
        <f t="shared" ref="VGB50:VGB51" si="984">SUM(VFP50:VGA50)</f>
        <v>0</v>
      </c>
      <c r="VGS50" s="108" t="s">
        <v>90</v>
      </c>
      <c r="VGU50" s="108" t="s">
        <v>63</v>
      </c>
      <c r="VHH50" s="108">
        <f t="shared" ref="VHH50:VHH51" si="985">SUM(VGV50:VHG50)</f>
        <v>0</v>
      </c>
      <c r="VHY50" s="108" t="s">
        <v>90</v>
      </c>
      <c r="VIA50" s="108" t="s">
        <v>63</v>
      </c>
      <c r="VIN50" s="108">
        <f t="shared" ref="VIN50:VIN51" si="986">SUM(VIB50:VIM50)</f>
        <v>0</v>
      </c>
      <c r="VJE50" s="108" t="s">
        <v>90</v>
      </c>
      <c r="VJG50" s="108" t="s">
        <v>63</v>
      </c>
      <c r="VJT50" s="108">
        <f t="shared" ref="VJT50:VJT51" si="987">SUM(VJH50:VJS50)</f>
        <v>0</v>
      </c>
      <c r="VKK50" s="108" t="s">
        <v>90</v>
      </c>
      <c r="VKM50" s="108" t="s">
        <v>63</v>
      </c>
      <c r="VKZ50" s="108">
        <f t="shared" ref="VKZ50:VKZ51" si="988">SUM(VKN50:VKY50)</f>
        <v>0</v>
      </c>
      <c r="VLQ50" s="108" t="s">
        <v>90</v>
      </c>
      <c r="VLS50" s="108" t="s">
        <v>63</v>
      </c>
      <c r="VMF50" s="108">
        <f t="shared" ref="VMF50:VMF51" si="989">SUM(VLT50:VME50)</f>
        <v>0</v>
      </c>
      <c r="VMW50" s="108" t="s">
        <v>90</v>
      </c>
      <c r="VMY50" s="108" t="s">
        <v>63</v>
      </c>
      <c r="VNL50" s="108">
        <f t="shared" ref="VNL50:VNL51" si="990">SUM(VMZ50:VNK50)</f>
        <v>0</v>
      </c>
      <c r="VOC50" s="108" t="s">
        <v>90</v>
      </c>
      <c r="VOE50" s="108" t="s">
        <v>63</v>
      </c>
      <c r="VOR50" s="108">
        <f t="shared" ref="VOR50:VOR51" si="991">SUM(VOF50:VOQ50)</f>
        <v>0</v>
      </c>
      <c r="VPI50" s="108" t="s">
        <v>90</v>
      </c>
      <c r="VPK50" s="108" t="s">
        <v>63</v>
      </c>
      <c r="VPX50" s="108">
        <f t="shared" ref="VPX50:VPX51" si="992">SUM(VPL50:VPW50)</f>
        <v>0</v>
      </c>
      <c r="VQO50" s="108" t="s">
        <v>90</v>
      </c>
      <c r="VQQ50" s="108" t="s">
        <v>63</v>
      </c>
      <c r="VRD50" s="108">
        <f t="shared" ref="VRD50:VRD51" si="993">SUM(VQR50:VRC50)</f>
        <v>0</v>
      </c>
      <c r="VRU50" s="108" t="s">
        <v>90</v>
      </c>
      <c r="VRW50" s="108" t="s">
        <v>63</v>
      </c>
      <c r="VSJ50" s="108">
        <f t="shared" ref="VSJ50:VSJ51" si="994">SUM(VRX50:VSI50)</f>
        <v>0</v>
      </c>
      <c r="VTA50" s="108" t="s">
        <v>90</v>
      </c>
      <c r="VTC50" s="108" t="s">
        <v>63</v>
      </c>
      <c r="VTP50" s="108">
        <f t="shared" ref="VTP50:VTP51" si="995">SUM(VTD50:VTO50)</f>
        <v>0</v>
      </c>
      <c r="VUG50" s="108" t="s">
        <v>90</v>
      </c>
      <c r="VUI50" s="108" t="s">
        <v>63</v>
      </c>
      <c r="VUV50" s="108">
        <f t="shared" ref="VUV50:VUV51" si="996">SUM(VUJ50:VUU50)</f>
        <v>0</v>
      </c>
      <c r="VVM50" s="108" t="s">
        <v>90</v>
      </c>
      <c r="VVO50" s="108" t="s">
        <v>63</v>
      </c>
      <c r="VWB50" s="108">
        <f t="shared" ref="VWB50:VWB51" si="997">SUM(VVP50:VWA50)</f>
        <v>0</v>
      </c>
      <c r="VWS50" s="108" t="s">
        <v>90</v>
      </c>
      <c r="VWU50" s="108" t="s">
        <v>63</v>
      </c>
      <c r="VXH50" s="108">
        <f t="shared" ref="VXH50:VXH51" si="998">SUM(VWV50:VXG50)</f>
        <v>0</v>
      </c>
      <c r="VXY50" s="108" t="s">
        <v>90</v>
      </c>
      <c r="VYA50" s="108" t="s">
        <v>63</v>
      </c>
      <c r="VYN50" s="108">
        <f t="shared" ref="VYN50:VYN51" si="999">SUM(VYB50:VYM50)</f>
        <v>0</v>
      </c>
      <c r="VZE50" s="108" t="s">
        <v>90</v>
      </c>
      <c r="VZG50" s="108" t="s">
        <v>63</v>
      </c>
      <c r="VZT50" s="108">
        <f t="shared" ref="VZT50:VZT51" si="1000">SUM(VZH50:VZS50)</f>
        <v>0</v>
      </c>
      <c r="WAK50" s="108" t="s">
        <v>90</v>
      </c>
      <c r="WAM50" s="108" t="s">
        <v>63</v>
      </c>
      <c r="WAZ50" s="108">
        <f t="shared" ref="WAZ50:WAZ51" si="1001">SUM(WAN50:WAY50)</f>
        <v>0</v>
      </c>
      <c r="WBQ50" s="108" t="s">
        <v>90</v>
      </c>
      <c r="WBS50" s="108" t="s">
        <v>63</v>
      </c>
      <c r="WCF50" s="108">
        <f t="shared" ref="WCF50:WCF51" si="1002">SUM(WBT50:WCE50)</f>
        <v>0</v>
      </c>
      <c r="WCW50" s="108" t="s">
        <v>90</v>
      </c>
      <c r="WCY50" s="108" t="s">
        <v>63</v>
      </c>
      <c r="WDL50" s="108">
        <f t="shared" ref="WDL50:WDL51" si="1003">SUM(WCZ50:WDK50)</f>
        <v>0</v>
      </c>
      <c r="WEC50" s="108" t="s">
        <v>90</v>
      </c>
      <c r="WEE50" s="108" t="s">
        <v>63</v>
      </c>
      <c r="WER50" s="108">
        <f t="shared" ref="WER50:WER51" si="1004">SUM(WEF50:WEQ50)</f>
        <v>0</v>
      </c>
      <c r="WFI50" s="108" t="s">
        <v>90</v>
      </c>
      <c r="WFK50" s="108" t="s">
        <v>63</v>
      </c>
      <c r="WFX50" s="108">
        <f t="shared" ref="WFX50:WFX51" si="1005">SUM(WFL50:WFW50)</f>
        <v>0</v>
      </c>
      <c r="WGO50" s="108" t="s">
        <v>90</v>
      </c>
      <c r="WGQ50" s="108" t="s">
        <v>63</v>
      </c>
      <c r="WHD50" s="108">
        <f t="shared" ref="WHD50:WHD51" si="1006">SUM(WGR50:WHC50)</f>
        <v>0</v>
      </c>
      <c r="WHU50" s="108" t="s">
        <v>90</v>
      </c>
      <c r="WHW50" s="108" t="s">
        <v>63</v>
      </c>
      <c r="WIJ50" s="108">
        <f t="shared" ref="WIJ50:WIJ51" si="1007">SUM(WHX50:WII50)</f>
        <v>0</v>
      </c>
      <c r="WJA50" s="108" t="s">
        <v>90</v>
      </c>
      <c r="WJC50" s="108" t="s">
        <v>63</v>
      </c>
      <c r="WJP50" s="108">
        <f t="shared" ref="WJP50:WJP51" si="1008">SUM(WJD50:WJO50)</f>
        <v>0</v>
      </c>
      <c r="WKG50" s="108" t="s">
        <v>90</v>
      </c>
      <c r="WKI50" s="108" t="s">
        <v>63</v>
      </c>
      <c r="WKV50" s="108">
        <f t="shared" ref="WKV50:WKV51" si="1009">SUM(WKJ50:WKU50)</f>
        <v>0</v>
      </c>
      <c r="WLM50" s="108" t="s">
        <v>90</v>
      </c>
      <c r="WLO50" s="108" t="s">
        <v>63</v>
      </c>
      <c r="WMB50" s="108">
        <f t="shared" ref="WMB50:WMB51" si="1010">SUM(WLP50:WMA50)</f>
        <v>0</v>
      </c>
      <c r="WMS50" s="108" t="s">
        <v>90</v>
      </c>
      <c r="WMU50" s="108" t="s">
        <v>63</v>
      </c>
      <c r="WNH50" s="108">
        <f t="shared" ref="WNH50:WNH51" si="1011">SUM(WMV50:WNG50)</f>
        <v>0</v>
      </c>
      <c r="WNY50" s="108" t="s">
        <v>90</v>
      </c>
      <c r="WOA50" s="108" t="s">
        <v>63</v>
      </c>
      <c r="WON50" s="108">
        <f t="shared" ref="WON50:WON51" si="1012">SUM(WOB50:WOM50)</f>
        <v>0</v>
      </c>
      <c r="WPE50" s="108" t="s">
        <v>90</v>
      </c>
      <c r="WPG50" s="108" t="s">
        <v>63</v>
      </c>
      <c r="WPT50" s="108">
        <f t="shared" ref="WPT50:WPT51" si="1013">SUM(WPH50:WPS50)</f>
        <v>0</v>
      </c>
      <c r="WQK50" s="108" t="s">
        <v>90</v>
      </c>
      <c r="WQM50" s="108" t="s">
        <v>63</v>
      </c>
      <c r="WQZ50" s="108">
        <f t="shared" ref="WQZ50:WQZ51" si="1014">SUM(WQN50:WQY50)</f>
        <v>0</v>
      </c>
      <c r="WRQ50" s="108" t="s">
        <v>90</v>
      </c>
      <c r="WRS50" s="108" t="s">
        <v>63</v>
      </c>
      <c r="WSF50" s="108">
        <f t="shared" ref="WSF50:WSF51" si="1015">SUM(WRT50:WSE50)</f>
        <v>0</v>
      </c>
      <c r="WSW50" s="108" t="s">
        <v>90</v>
      </c>
      <c r="WSY50" s="108" t="s">
        <v>63</v>
      </c>
      <c r="WTL50" s="108">
        <f t="shared" ref="WTL50:WTL51" si="1016">SUM(WSZ50:WTK50)</f>
        <v>0</v>
      </c>
      <c r="WUC50" s="108" t="s">
        <v>90</v>
      </c>
      <c r="WUE50" s="108" t="s">
        <v>63</v>
      </c>
      <c r="WUR50" s="108">
        <f t="shared" ref="WUR50:WUR51" si="1017">SUM(WUF50:WUQ50)</f>
        <v>0</v>
      </c>
      <c r="WVI50" s="108" t="s">
        <v>90</v>
      </c>
      <c r="WVK50" s="108" t="s">
        <v>63</v>
      </c>
      <c r="WVX50" s="108">
        <f t="shared" ref="WVX50:WVX51" si="1018">SUM(WVL50:WVW50)</f>
        <v>0</v>
      </c>
      <c r="WWO50" s="108" t="s">
        <v>90</v>
      </c>
      <c r="WWQ50" s="108" t="s">
        <v>63</v>
      </c>
      <c r="WXD50" s="108">
        <f t="shared" ref="WXD50:WXD51" si="1019">SUM(WWR50:WXC50)</f>
        <v>0</v>
      </c>
      <c r="WXU50" s="108" t="s">
        <v>90</v>
      </c>
      <c r="WXW50" s="108" t="s">
        <v>63</v>
      </c>
      <c r="WYJ50" s="108">
        <f t="shared" ref="WYJ50:WYJ51" si="1020">SUM(WXX50:WYI50)</f>
        <v>0</v>
      </c>
      <c r="WZA50" s="108" t="s">
        <v>90</v>
      </c>
      <c r="WZC50" s="108" t="s">
        <v>63</v>
      </c>
      <c r="WZP50" s="108">
        <f t="shared" ref="WZP50:WZP51" si="1021">SUM(WZD50:WZO50)</f>
        <v>0</v>
      </c>
      <c r="XAG50" s="108" t="s">
        <v>90</v>
      </c>
      <c r="XAI50" s="108" t="s">
        <v>63</v>
      </c>
      <c r="XAV50" s="108">
        <f t="shared" ref="XAV50:XAV51" si="1022">SUM(XAJ50:XAU50)</f>
        <v>0</v>
      </c>
      <c r="XBM50" s="108" t="s">
        <v>90</v>
      </c>
      <c r="XBO50" s="108" t="s">
        <v>63</v>
      </c>
      <c r="XCB50" s="108">
        <f t="shared" ref="XCB50:XCB51" si="1023">SUM(XBP50:XCA50)</f>
        <v>0</v>
      </c>
      <c r="XCS50" s="108" t="s">
        <v>90</v>
      </c>
      <c r="XCU50" s="108" t="s">
        <v>63</v>
      </c>
      <c r="XDH50" s="108">
        <f t="shared" ref="XDH50:XDH51" si="1024">SUM(XCV50:XDG50)</f>
        <v>0</v>
      </c>
      <c r="XDY50" s="108" t="s">
        <v>90</v>
      </c>
      <c r="XEA50" s="108" t="s">
        <v>63</v>
      </c>
      <c r="XEN50" s="108">
        <f t="shared" ref="XEN50:XEN51" si="1025">SUM(XEB50:XEM50)</f>
        <v>0</v>
      </c>
    </row>
    <row r="51" spans="1:1008 1025:2032 2049:3056 3073:4080 4097:5104 5121:6128 6145:7152 7169:8176 8193:9200 9217:10224 10241:11248 11265:12272 12289:13296 13313:14320 14337:15344 15361:16368" ht="54" customHeight="1" x14ac:dyDescent="0.25">
      <c r="A51" s="380"/>
      <c r="B51" s="381"/>
      <c r="C51" s="99" t="s">
        <v>64</v>
      </c>
      <c r="D51" s="100">
        <v>0</v>
      </c>
      <c r="E51" s="100">
        <v>0</v>
      </c>
      <c r="F51" s="100">
        <v>0</v>
      </c>
      <c r="G51" s="100">
        <v>0</v>
      </c>
      <c r="H51" s="100">
        <v>0</v>
      </c>
      <c r="I51" s="100">
        <v>0</v>
      </c>
      <c r="J51" s="100">
        <v>0</v>
      </c>
      <c r="K51" s="100">
        <v>0</v>
      </c>
      <c r="L51" s="104">
        <v>0</v>
      </c>
      <c r="M51" s="104">
        <v>0</v>
      </c>
      <c r="N51" s="104">
        <v>0.3</v>
      </c>
      <c r="O51" s="104">
        <v>0.7</v>
      </c>
      <c r="P51" s="101">
        <f>SUM(D51:O51)</f>
        <v>1</v>
      </c>
      <c r="Q51" s="393"/>
      <c r="R51" s="394"/>
      <c r="S51" s="394"/>
      <c r="T51" s="394"/>
      <c r="U51" s="394"/>
      <c r="V51" s="394"/>
      <c r="W51" s="394"/>
      <c r="X51" s="394"/>
      <c r="Y51" s="394"/>
      <c r="Z51" s="394"/>
      <c r="AA51" s="394"/>
      <c r="AB51" s="394"/>
      <c r="AC51" s="394"/>
      <c r="AD51" s="395"/>
      <c r="AE51" s="97"/>
      <c r="AI51" s="108" t="s">
        <v>64</v>
      </c>
      <c r="AV51" s="108">
        <f t="shared" si="515"/>
        <v>0</v>
      </c>
      <c r="BO51" s="108" t="s">
        <v>64</v>
      </c>
      <c r="CB51" s="108">
        <f t="shared" si="516"/>
        <v>0</v>
      </c>
      <c r="CU51" s="108" t="s">
        <v>64</v>
      </c>
      <c r="DH51" s="108">
        <f t="shared" si="517"/>
        <v>0</v>
      </c>
      <c r="EA51" s="108" t="s">
        <v>64</v>
      </c>
      <c r="EN51" s="108">
        <f t="shared" si="518"/>
        <v>0</v>
      </c>
      <c r="FG51" s="108" t="s">
        <v>64</v>
      </c>
      <c r="FT51" s="108">
        <f t="shared" si="519"/>
        <v>0</v>
      </c>
      <c r="GM51" s="108" t="s">
        <v>64</v>
      </c>
      <c r="GZ51" s="108">
        <f t="shared" si="520"/>
        <v>0</v>
      </c>
      <c r="HS51" s="108" t="s">
        <v>64</v>
      </c>
      <c r="IF51" s="108">
        <f t="shared" si="521"/>
        <v>0</v>
      </c>
      <c r="IY51" s="108" t="s">
        <v>64</v>
      </c>
      <c r="JL51" s="108">
        <f t="shared" si="522"/>
        <v>0</v>
      </c>
      <c r="KE51" s="108" t="s">
        <v>64</v>
      </c>
      <c r="KR51" s="108">
        <f t="shared" si="523"/>
        <v>0</v>
      </c>
      <c r="LK51" s="108" t="s">
        <v>64</v>
      </c>
      <c r="LX51" s="108">
        <f t="shared" si="524"/>
        <v>0</v>
      </c>
      <c r="MQ51" s="108" t="s">
        <v>64</v>
      </c>
      <c r="ND51" s="108">
        <f t="shared" si="525"/>
        <v>0</v>
      </c>
      <c r="NW51" s="108" t="s">
        <v>64</v>
      </c>
      <c r="OJ51" s="108">
        <f t="shared" si="526"/>
        <v>0</v>
      </c>
      <c r="PC51" s="108" t="s">
        <v>64</v>
      </c>
      <c r="PP51" s="108">
        <f t="shared" si="527"/>
        <v>0</v>
      </c>
      <c r="QI51" s="108" t="s">
        <v>64</v>
      </c>
      <c r="QV51" s="108">
        <f t="shared" si="528"/>
        <v>0</v>
      </c>
      <c r="RO51" s="108" t="s">
        <v>64</v>
      </c>
      <c r="SB51" s="108">
        <f t="shared" si="529"/>
        <v>0</v>
      </c>
      <c r="SU51" s="108" t="s">
        <v>64</v>
      </c>
      <c r="TH51" s="108">
        <f t="shared" si="530"/>
        <v>0</v>
      </c>
      <c r="UA51" s="108" t="s">
        <v>64</v>
      </c>
      <c r="UN51" s="108">
        <f t="shared" si="531"/>
        <v>0</v>
      </c>
      <c r="VG51" s="108" t="s">
        <v>64</v>
      </c>
      <c r="VT51" s="108">
        <f t="shared" si="532"/>
        <v>0</v>
      </c>
      <c r="WM51" s="108" t="s">
        <v>64</v>
      </c>
      <c r="WZ51" s="108">
        <f t="shared" si="533"/>
        <v>0</v>
      </c>
      <c r="XS51" s="108" t="s">
        <v>64</v>
      </c>
      <c r="YF51" s="108">
        <f t="shared" si="534"/>
        <v>0</v>
      </c>
      <c r="YY51" s="108" t="s">
        <v>64</v>
      </c>
      <c r="ZL51" s="108">
        <f t="shared" si="535"/>
        <v>0</v>
      </c>
      <c r="AAE51" s="108" t="s">
        <v>64</v>
      </c>
      <c r="AAR51" s="108">
        <f t="shared" si="536"/>
        <v>0</v>
      </c>
      <c r="ABK51" s="108" t="s">
        <v>64</v>
      </c>
      <c r="ABX51" s="108">
        <f t="shared" si="537"/>
        <v>0</v>
      </c>
      <c r="ACQ51" s="108" t="s">
        <v>64</v>
      </c>
      <c r="ADD51" s="108">
        <f t="shared" si="538"/>
        <v>0</v>
      </c>
      <c r="ADW51" s="108" t="s">
        <v>64</v>
      </c>
      <c r="AEJ51" s="108">
        <f t="shared" si="539"/>
        <v>0</v>
      </c>
      <c r="AFC51" s="108" t="s">
        <v>64</v>
      </c>
      <c r="AFP51" s="108">
        <f t="shared" si="540"/>
        <v>0</v>
      </c>
      <c r="AGI51" s="108" t="s">
        <v>64</v>
      </c>
      <c r="AGV51" s="108">
        <f t="shared" si="541"/>
        <v>0</v>
      </c>
      <c r="AHO51" s="108" t="s">
        <v>64</v>
      </c>
      <c r="AIB51" s="108">
        <f t="shared" si="542"/>
        <v>0</v>
      </c>
      <c r="AIU51" s="108" t="s">
        <v>64</v>
      </c>
      <c r="AJH51" s="108">
        <f t="shared" si="543"/>
        <v>0</v>
      </c>
      <c r="AKA51" s="108" t="s">
        <v>64</v>
      </c>
      <c r="AKN51" s="108">
        <f t="shared" si="544"/>
        <v>0</v>
      </c>
      <c r="ALG51" s="108" t="s">
        <v>64</v>
      </c>
      <c r="ALT51" s="108">
        <f t="shared" si="545"/>
        <v>0</v>
      </c>
      <c r="AMM51" s="108" t="s">
        <v>64</v>
      </c>
      <c r="AMZ51" s="108">
        <f t="shared" si="546"/>
        <v>0</v>
      </c>
      <c r="ANS51" s="108" t="s">
        <v>64</v>
      </c>
      <c r="AOF51" s="108">
        <f t="shared" si="547"/>
        <v>0</v>
      </c>
      <c r="AOY51" s="108" t="s">
        <v>64</v>
      </c>
      <c r="APL51" s="108">
        <f t="shared" si="548"/>
        <v>0</v>
      </c>
      <c r="AQE51" s="108" t="s">
        <v>64</v>
      </c>
      <c r="AQR51" s="108">
        <f t="shared" si="549"/>
        <v>0</v>
      </c>
      <c r="ARK51" s="108" t="s">
        <v>64</v>
      </c>
      <c r="ARX51" s="108">
        <f t="shared" si="550"/>
        <v>0</v>
      </c>
      <c r="ASQ51" s="108" t="s">
        <v>64</v>
      </c>
      <c r="ATD51" s="108">
        <f t="shared" si="551"/>
        <v>0</v>
      </c>
      <c r="ATW51" s="108" t="s">
        <v>64</v>
      </c>
      <c r="AUJ51" s="108">
        <f t="shared" si="552"/>
        <v>0</v>
      </c>
      <c r="AVC51" s="108" t="s">
        <v>64</v>
      </c>
      <c r="AVP51" s="108">
        <f t="shared" si="553"/>
        <v>0</v>
      </c>
      <c r="AWI51" s="108" t="s">
        <v>64</v>
      </c>
      <c r="AWV51" s="108">
        <f t="shared" si="554"/>
        <v>0</v>
      </c>
      <c r="AXO51" s="108" t="s">
        <v>64</v>
      </c>
      <c r="AYB51" s="108">
        <f t="shared" si="555"/>
        <v>0</v>
      </c>
      <c r="AYU51" s="108" t="s">
        <v>64</v>
      </c>
      <c r="AZH51" s="108">
        <f t="shared" si="556"/>
        <v>0</v>
      </c>
      <c r="BAA51" s="108" t="s">
        <v>64</v>
      </c>
      <c r="BAN51" s="108">
        <f t="shared" si="557"/>
        <v>0</v>
      </c>
      <c r="BBG51" s="108" t="s">
        <v>64</v>
      </c>
      <c r="BBT51" s="108">
        <f t="shared" si="558"/>
        <v>0</v>
      </c>
      <c r="BCM51" s="108" t="s">
        <v>64</v>
      </c>
      <c r="BCZ51" s="108">
        <f t="shared" si="559"/>
        <v>0</v>
      </c>
      <c r="BDS51" s="108" t="s">
        <v>64</v>
      </c>
      <c r="BEF51" s="108">
        <f t="shared" si="560"/>
        <v>0</v>
      </c>
      <c r="BEY51" s="108" t="s">
        <v>64</v>
      </c>
      <c r="BFL51" s="108">
        <f t="shared" si="561"/>
        <v>0</v>
      </c>
      <c r="BGE51" s="108" t="s">
        <v>64</v>
      </c>
      <c r="BGR51" s="108">
        <f t="shared" si="562"/>
        <v>0</v>
      </c>
      <c r="BHK51" s="108" t="s">
        <v>64</v>
      </c>
      <c r="BHX51" s="108">
        <f t="shared" si="563"/>
        <v>0</v>
      </c>
      <c r="BIQ51" s="108" t="s">
        <v>64</v>
      </c>
      <c r="BJD51" s="108">
        <f t="shared" si="564"/>
        <v>0</v>
      </c>
      <c r="BJW51" s="108" t="s">
        <v>64</v>
      </c>
      <c r="BKJ51" s="108">
        <f t="shared" si="565"/>
        <v>0</v>
      </c>
      <c r="BLC51" s="108" t="s">
        <v>64</v>
      </c>
      <c r="BLP51" s="108">
        <f t="shared" si="566"/>
        <v>0</v>
      </c>
      <c r="BMI51" s="108" t="s">
        <v>64</v>
      </c>
      <c r="BMV51" s="108">
        <f t="shared" si="567"/>
        <v>0</v>
      </c>
      <c r="BNO51" s="108" t="s">
        <v>64</v>
      </c>
      <c r="BOB51" s="108">
        <f t="shared" si="568"/>
        <v>0</v>
      </c>
      <c r="BOU51" s="108" t="s">
        <v>64</v>
      </c>
      <c r="BPH51" s="108">
        <f t="shared" si="569"/>
        <v>0</v>
      </c>
      <c r="BQA51" s="108" t="s">
        <v>64</v>
      </c>
      <c r="BQN51" s="108">
        <f t="shared" si="570"/>
        <v>0</v>
      </c>
      <c r="BRG51" s="108" t="s">
        <v>64</v>
      </c>
      <c r="BRT51" s="108">
        <f t="shared" si="571"/>
        <v>0</v>
      </c>
      <c r="BSM51" s="108" t="s">
        <v>64</v>
      </c>
      <c r="BSZ51" s="108">
        <f t="shared" si="572"/>
        <v>0</v>
      </c>
      <c r="BTS51" s="108" t="s">
        <v>64</v>
      </c>
      <c r="BUF51" s="108">
        <f t="shared" si="573"/>
        <v>0</v>
      </c>
      <c r="BUY51" s="108" t="s">
        <v>64</v>
      </c>
      <c r="BVL51" s="108">
        <f t="shared" si="574"/>
        <v>0</v>
      </c>
      <c r="BWE51" s="108" t="s">
        <v>64</v>
      </c>
      <c r="BWR51" s="108">
        <f t="shared" si="575"/>
        <v>0</v>
      </c>
      <c r="BXK51" s="108" t="s">
        <v>64</v>
      </c>
      <c r="BXX51" s="108">
        <f t="shared" si="576"/>
        <v>0</v>
      </c>
      <c r="BYQ51" s="108" t="s">
        <v>64</v>
      </c>
      <c r="BZD51" s="108">
        <f t="shared" si="577"/>
        <v>0</v>
      </c>
      <c r="BZW51" s="108" t="s">
        <v>64</v>
      </c>
      <c r="CAJ51" s="108">
        <f t="shared" si="578"/>
        <v>0</v>
      </c>
      <c r="CBC51" s="108" t="s">
        <v>64</v>
      </c>
      <c r="CBP51" s="108">
        <f t="shared" si="579"/>
        <v>0</v>
      </c>
      <c r="CCI51" s="108" t="s">
        <v>64</v>
      </c>
      <c r="CCV51" s="108">
        <f t="shared" si="580"/>
        <v>0</v>
      </c>
      <c r="CDO51" s="108" t="s">
        <v>64</v>
      </c>
      <c r="CEB51" s="108">
        <f t="shared" si="581"/>
        <v>0</v>
      </c>
      <c r="CEU51" s="108" t="s">
        <v>64</v>
      </c>
      <c r="CFH51" s="108">
        <f t="shared" si="582"/>
        <v>0</v>
      </c>
      <c r="CGA51" s="108" t="s">
        <v>64</v>
      </c>
      <c r="CGN51" s="108">
        <f t="shared" si="583"/>
        <v>0</v>
      </c>
      <c r="CHG51" s="108" t="s">
        <v>64</v>
      </c>
      <c r="CHT51" s="108">
        <f t="shared" si="584"/>
        <v>0</v>
      </c>
      <c r="CIM51" s="108" t="s">
        <v>64</v>
      </c>
      <c r="CIZ51" s="108">
        <f t="shared" si="585"/>
        <v>0</v>
      </c>
      <c r="CJS51" s="108" t="s">
        <v>64</v>
      </c>
      <c r="CKF51" s="108">
        <f t="shared" si="586"/>
        <v>0</v>
      </c>
      <c r="CKY51" s="108" t="s">
        <v>64</v>
      </c>
      <c r="CLL51" s="108">
        <f t="shared" si="587"/>
        <v>0</v>
      </c>
      <c r="CME51" s="108" t="s">
        <v>64</v>
      </c>
      <c r="CMR51" s="108">
        <f t="shared" si="588"/>
        <v>0</v>
      </c>
      <c r="CNK51" s="108" t="s">
        <v>64</v>
      </c>
      <c r="CNX51" s="108">
        <f t="shared" si="589"/>
        <v>0</v>
      </c>
      <c r="COQ51" s="108" t="s">
        <v>64</v>
      </c>
      <c r="CPD51" s="108">
        <f t="shared" si="590"/>
        <v>0</v>
      </c>
      <c r="CPW51" s="108" t="s">
        <v>64</v>
      </c>
      <c r="CQJ51" s="108">
        <f t="shared" si="591"/>
        <v>0</v>
      </c>
      <c r="CRC51" s="108" t="s">
        <v>64</v>
      </c>
      <c r="CRP51" s="108">
        <f t="shared" si="592"/>
        <v>0</v>
      </c>
      <c r="CSI51" s="108" t="s">
        <v>64</v>
      </c>
      <c r="CSV51" s="108">
        <f t="shared" si="593"/>
        <v>0</v>
      </c>
      <c r="CTO51" s="108" t="s">
        <v>64</v>
      </c>
      <c r="CUB51" s="108">
        <f t="shared" si="594"/>
        <v>0</v>
      </c>
      <c r="CUU51" s="108" t="s">
        <v>64</v>
      </c>
      <c r="CVH51" s="108">
        <f t="shared" si="595"/>
        <v>0</v>
      </c>
      <c r="CWA51" s="108" t="s">
        <v>64</v>
      </c>
      <c r="CWN51" s="108">
        <f t="shared" si="596"/>
        <v>0</v>
      </c>
      <c r="CXG51" s="108" t="s">
        <v>64</v>
      </c>
      <c r="CXT51" s="108">
        <f t="shared" si="597"/>
        <v>0</v>
      </c>
      <c r="CYM51" s="108" t="s">
        <v>64</v>
      </c>
      <c r="CYZ51" s="108">
        <f t="shared" si="598"/>
        <v>0</v>
      </c>
      <c r="CZS51" s="108" t="s">
        <v>64</v>
      </c>
      <c r="DAF51" s="108">
        <f t="shared" si="599"/>
        <v>0</v>
      </c>
      <c r="DAY51" s="108" t="s">
        <v>64</v>
      </c>
      <c r="DBL51" s="108">
        <f t="shared" si="600"/>
        <v>0</v>
      </c>
      <c r="DCE51" s="108" t="s">
        <v>64</v>
      </c>
      <c r="DCR51" s="108">
        <f t="shared" si="601"/>
        <v>0</v>
      </c>
      <c r="DDK51" s="108" t="s">
        <v>64</v>
      </c>
      <c r="DDX51" s="108">
        <f t="shared" si="602"/>
        <v>0</v>
      </c>
      <c r="DEQ51" s="108" t="s">
        <v>64</v>
      </c>
      <c r="DFD51" s="108">
        <f t="shared" si="603"/>
        <v>0</v>
      </c>
      <c r="DFW51" s="108" t="s">
        <v>64</v>
      </c>
      <c r="DGJ51" s="108">
        <f t="shared" si="604"/>
        <v>0</v>
      </c>
      <c r="DHC51" s="108" t="s">
        <v>64</v>
      </c>
      <c r="DHP51" s="108">
        <f t="shared" si="605"/>
        <v>0</v>
      </c>
      <c r="DII51" s="108" t="s">
        <v>64</v>
      </c>
      <c r="DIV51" s="108">
        <f t="shared" si="606"/>
        <v>0</v>
      </c>
      <c r="DJO51" s="108" t="s">
        <v>64</v>
      </c>
      <c r="DKB51" s="108">
        <f t="shared" si="607"/>
        <v>0</v>
      </c>
      <c r="DKU51" s="108" t="s">
        <v>64</v>
      </c>
      <c r="DLH51" s="108">
        <f t="shared" si="608"/>
        <v>0</v>
      </c>
      <c r="DMA51" s="108" t="s">
        <v>64</v>
      </c>
      <c r="DMN51" s="108">
        <f t="shared" si="609"/>
        <v>0</v>
      </c>
      <c r="DNG51" s="108" t="s">
        <v>64</v>
      </c>
      <c r="DNT51" s="108">
        <f t="shared" si="610"/>
        <v>0</v>
      </c>
      <c r="DOM51" s="108" t="s">
        <v>64</v>
      </c>
      <c r="DOZ51" s="108">
        <f t="shared" si="611"/>
        <v>0</v>
      </c>
      <c r="DPS51" s="108" t="s">
        <v>64</v>
      </c>
      <c r="DQF51" s="108">
        <f t="shared" si="612"/>
        <v>0</v>
      </c>
      <c r="DQY51" s="108" t="s">
        <v>64</v>
      </c>
      <c r="DRL51" s="108">
        <f t="shared" si="613"/>
        <v>0</v>
      </c>
      <c r="DSE51" s="108" t="s">
        <v>64</v>
      </c>
      <c r="DSR51" s="108">
        <f t="shared" si="614"/>
        <v>0</v>
      </c>
      <c r="DTK51" s="108" t="s">
        <v>64</v>
      </c>
      <c r="DTX51" s="108">
        <f t="shared" si="615"/>
        <v>0</v>
      </c>
      <c r="DUQ51" s="108" t="s">
        <v>64</v>
      </c>
      <c r="DVD51" s="108">
        <f t="shared" si="616"/>
        <v>0</v>
      </c>
      <c r="DVW51" s="108" t="s">
        <v>64</v>
      </c>
      <c r="DWJ51" s="108">
        <f t="shared" si="617"/>
        <v>0</v>
      </c>
      <c r="DXC51" s="108" t="s">
        <v>64</v>
      </c>
      <c r="DXP51" s="108">
        <f t="shared" si="618"/>
        <v>0</v>
      </c>
      <c r="DYI51" s="108" t="s">
        <v>64</v>
      </c>
      <c r="DYV51" s="108">
        <f t="shared" si="619"/>
        <v>0</v>
      </c>
      <c r="DZO51" s="108" t="s">
        <v>64</v>
      </c>
      <c r="EAB51" s="108">
        <f t="shared" si="620"/>
        <v>0</v>
      </c>
      <c r="EAU51" s="108" t="s">
        <v>64</v>
      </c>
      <c r="EBH51" s="108">
        <f t="shared" si="621"/>
        <v>0</v>
      </c>
      <c r="ECA51" s="108" t="s">
        <v>64</v>
      </c>
      <c r="ECN51" s="108">
        <f t="shared" si="622"/>
        <v>0</v>
      </c>
      <c r="EDG51" s="108" t="s">
        <v>64</v>
      </c>
      <c r="EDT51" s="108">
        <f t="shared" si="623"/>
        <v>0</v>
      </c>
      <c r="EEM51" s="108" t="s">
        <v>64</v>
      </c>
      <c r="EEZ51" s="108">
        <f t="shared" si="624"/>
        <v>0</v>
      </c>
      <c r="EFS51" s="108" t="s">
        <v>64</v>
      </c>
      <c r="EGF51" s="108">
        <f t="shared" si="625"/>
        <v>0</v>
      </c>
      <c r="EGY51" s="108" t="s">
        <v>64</v>
      </c>
      <c r="EHL51" s="108">
        <f t="shared" si="626"/>
        <v>0</v>
      </c>
      <c r="EIE51" s="108" t="s">
        <v>64</v>
      </c>
      <c r="EIR51" s="108">
        <f t="shared" si="627"/>
        <v>0</v>
      </c>
      <c r="EJK51" s="108" t="s">
        <v>64</v>
      </c>
      <c r="EJX51" s="108">
        <f t="shared" si="628"/>
        <v>0</v>
      </c>
      <c r="EKQ51" s="108" t="s">
        <v>64</v>
      </c>
      <c r="ELD51" s="108">
        <f t="shared" si="629"/>
        <v>0</v>
      </c>
      <c r="ELW51" s="108" t="s">
        <v>64</v>
      </c>
      <c r="EMJ51" s="108">
        <f t="shared" si="630"/>
        <v>0</v>
      </c>
      <c r="ENC51" s="108" t="s">
        <v>64</v>
      </c>
      <c r="ENP51" s="108">
        <f t="shared" si="631"/>
        <v>0</v>
      </c>
      <c r="EOI51" s="108" t="s">
        <v>64</v>
      </c>
      <c r="EOV51" s="108">
        <f t="shared" si="632"/>
        <v>0</v>
      </c>
      <c r="EPO51" s="108" t="s">
        <v>64</v>
      </c>
      <c r="EQB51" s="108">
        <f t="shared" si="633"/>
        <v>0</v>
      </c>
      <c r="EQU51" s="108" t="s">
        <v>64</v>
      </c>
      <c r="ERH51" s="108">
        <f t="shared" si="634"/>
        <v>0</v>
      </c>
      <c r="ESA51" s="108" t="s">
        <v>64</v>
      </c>
      <c r="ESN51" s="108">
        <f t="shared" si="635"/>
        <v>0</v>
      </c>
      <c r="ETG51" s="108" t="s">
        <v>64</v>
      </c>
      <c r="ETT51" s="108">
        <f t="shared" si="636"/>
        <v>0</v>
      </c>
      <c r="EUM51" s="108" t="s">
        <v>64</v>
      </c>
      <c r="EUZ51" s="108">
        <f t="shared" si="637"/>
        <v>0</v>
      </c>
      <c r="EVS51" s="108" t="s">
        <v>64</v>
      </c>
      <c r="EWF51" s="108">
        <f t="shared" si="638"/>
        <v>0</v>
      </c>
      <c r="EWY51" s="108" t="s">
        <v>64</v>
      </c>
      <c r="EXL51" s="108">
        <f t="shared" si="639"/>
        <v>0</v>
      </c>
      <c r="EYE51" s="108" t="s">
        <v>64</v>
      </c>
      <c r="EYR51" s="108">
        <f t="shared" si="640"/>
        <v>0</v>
      </c>
      <c r="EZK51" s="108" t="s">
        <v>64</v>
      </c>
      <c r="EZX51" s="108">
        <f t="shared" si="641"/>
        <v>0</v>
      </c>
      <c r="FAQ51" s="108" t="s">
        <v>64</v>
      </c>
      <c r="FBD51" s="108">
        <f t="shared" si="642"/>
        <v>0</v>
      </c>
      <c r="FBW51" s="108" t="s">
        <v>64</v>
      </c>
      <c r="FCJ51" s="108">
        <f t="shared" si="643"/>
        <v>0</v>
      </c>
      <c r="FDC51" s="108" t="s">
        <v>64</v>
      </c>
      <c r="FDP51" s="108">
        <f t="shared" si="644"/>
        <v>0</v>
      </c>
      <c r="FEI51" s="108" t="s">
        <v>64</v>
      </c>
      <c r="FEV51" s="108">
        <f t="shared" si="645"/>
        <v>0</v>
      </c>
      <c r="FFO51" s="108" t="s">
        <v>64</v>
      </c>
      <c r="FGB51" s="108">
        <f t="shared" si="646"/>
        <v>0</v>
      </c>
      <c r="FGU51" s="108" t="s">
        <v>64</v>
      </c>
      <c r="FHH51" s="108">
        <f t="shared" si="647"/>
        <v>0</v>
      </c>
      <c r="FIA51" s="108" t="s">
        <v>64</v>
      </c>
      <c r="FIN51" s="108">
        <f t="shared" si="648"/>
        <v>0</v>
      </c>
      <c r="FJG51" s="108" t="s">
        <v>64</v>
      </c>
      <c r="FJT51" s="108">
        <f t="shared" si="649"/>
        <v>0</v>
      </c>
      <c r="FKM51" s="108" t="s">
        <v>64</v>
      </c>
      <c r="FKZ51" s="108">
        <f t="shared" si="650"/>
        <v>0</v>
      </c>
      <c r="FLS51" s="108" t="s">
        <v>64</v>
      </c>
      <c r="FMF51" s="108">
        <f t="shared" si="651"/>
        <v>0</v>
      </c>
      <c r="FMY51" s="108" t="s">
        <v>64</v>
      </c>
      <c r="FNL51" s="108">
        <f t="shared" si="652"/>
        <v>0</v>
      </c>
      <c r="FOE51" s="108" t="s">
        <v>64</v>
      </c>
      <c r="FOR51" s="108">
        <f t="shared" si="653"/>
        <v>0</v>
      </c>
      <c r="FPK51" s="108" t="s">
        <v>64</v>
      </c>
      <c r="FPX51" s="108">
        <f t="shared" si="654"/>
        <v>0</v>
      </c>
      <c r="FQQ51" s="108" t="s">
        <v>64</v>
      </c>
      <c r="FRD51" s="108">
        <f t="shared" si="655"/>
        <v>0</v>
      </c>
      <c r="FRW51" s="108" t="s">
        <v>64</v>
      </c>
      <c r="FSJ51" s="108">
        <f t="shared" si="656"/>
        <v>0</v>
      </c>
      <c r="FTC51" s="108" t="s">
        <v>64</v>
      </c>
      <c r="FTP51" s="108">
        <f t="shared" si="657"/>
        <v>0</v>
      </c>
      <c r="FUI51" s="108" t="s">
        <v>64</v>
      </c>
      <c r="FUV51" s="108">
        <f t="shared" si="658"/>
        <v>0</v>
      </c>
      <c r="FVO51" s="108" t="s">
        <v>64</v>
      </c>
      <c r="FWB51" s="108">
        <f t="shared" si="659"/>
        <v>0</v>
      </c>
      <c r="FWU51" s="108" t="s">
        <v>64</v>
      </c>
      <c r="FXH51" s="108">
        <f t="shared" si="660"/>
        <v>0</v>
      </c>
      <c r="FYA51" s="108" t="s">
        <v>64</v>
      </c>
      <c r="FYN51" s="108">
        <f t="shared" si="661"/>
        <v>0</v>
      </c>
      <c r="FZG51" s="108" t="s">
        <v>64</v>
      </c>
      <c r="FZT51" s="108">
        <f t="shared" si="662"/>
        <v>0</v>
      </c>
      <c r="GAM51" s="108" t="s">
        <v>64</v>
      </c>
      <c r="GAZ51" s="108">
        <f t="shared" si="663"/>
        <v>0</v>
      </c>
      <c r="GBS51" s="108" t="s">
        <v>64</v>
      </c>
      <c r="GCF51" s="108">
        <f t="shared" si="664"/>
        <v>0</v>
      </c>
      <c r="GCY51" s="108" t="s">
        <v>64</v>
      </c>
      <c r="GDL51" s="108">
        <f t="shared" si="665"/>
        <v>0</v>
      </c>
      <c r="GEE51" s="108" t="s">
        <v>64</v>
      </c>
      <c r="GER51" s="108">
        <f t="shared" si="666"/>
        <v>0</v>
      </c>
      <c r="GFK51" s="108" t="s">
        <v>64</v>
      </c>
      <c r="GFX51" s="108">
        <f t="shared" si="667"/>
        <v>0</v>
      </c>
      <c r="GGQ51" s="108" t="s">
        <v>64</v>
      </c>
      <c r="GHD51" s="108">
        <f t="shared" si="668"/>
        <v>0</v>
      </c>
      <c r="GHW51" s="108" t="s">
        <v>64</v>
      </c>
      <c r="GIJ51" s="108">
        <f t="shared" si="669"/>
        <v>0</v>
      </c>
      <c r="GJC51" s="108" t="s">
        <v>64</v>
      </c>
      <c r="GJP51" s="108">
        <f t="shared" si="670"/>
        <v>0</v>
      </c>
      <c r="GKI51" s="108" t="s">
        <v>64</v>
      </c>
      <c r="GKV51" s="108">
        <f t="shared" si="671"/>
        <v>0</v>
      </c>
      <c r="GLO51" s="108" t="s">
        <v>64</v>
      </c>
      <c r="GMB51" s="108">
        <f t="shared" si="672"/>
        <v>0</v>
      </c>
      <c r="GMU51" s="108" t="s">
        <v>64</v>
      </c>
      <c r="GNH51" s="108">
        <f t="shared" si="673"/>
        <v>0</v>
      </c>
      <c r="GOA51" s="108" t="s">
        <v>64</v>
      </c>
      <c r="GON51" s="108">
        <f t="shared" si="674"/>
        <v>0</v>
      </c>
      <c r="GPG51" s="108" t="s">
        <v>64</v>
      </c>
      <c r="GPT51" s="108">
        <f t="shared" si="675"/>
        <v>0</v>
      </c>
      <c r="GQM51" s="108" t="s">
        <v>64</v>
      </c>
      <c r="GQZ51" s="108">
        <f t="shared" si="676"/>
        <v>0</v>
      </c>
      <c r="GRS51" s="108" t="s">
        <v>64</v>
      </c>
      <c r="GSF51" s="108">
        <f t="shared" si="677"/>
        <v>0</v>
      </c>
      <c r="GSY51" s="108" t="s">
        <v>64</v>
      </c>
      <c r="GTL51" s="108">
        <f t="shared" si="678"/>
        <v>0</v>
      </c>
      <c r="GUE51" s="108" t="s">
        <v>64</v>
      </c>
      <c r="GUR51" s="108">
        <f t="shared" si="679"/>
        <v>0</v>
      </c>
      <c r="GVK51" s="108" t="s">
        <v>64</v>
      </c>
      <c r="GVX51" s="108">
        <f t="shared" si="680"/>
        <v>0</v>
      </c>
      <c r="GWQ51" s="108" t="s">
        <v>64</v>
      </c>
      <c r="GXD51" s="108">
        <f t="shared" si="681"/>
        <v>0</v>
      </c>
      <c r="GXW51" s="108" t="s">
        <v>64</v>
      </c>
      <c r="GYJ51" s="108">
        <f t="shared" si="682"/>
        <v>0</v>
      </c>
      <c r="GZC51" s="108" t="s">
        <v>64</v>
      </c>
      <c r="GZP51" s="108">
        <f t="shared" si="683"/>
        <v>0</v>
      </c>
      <c r="HAI51" s="108" t="s">
        <v>64</v>
      </c>
      <c r="HAV51" s="108">
        <f t="shared" si="684"/>
        <v>0</v>
      </c>
      <c r="HBO51" s="108" t="s">
        <v>64</v>
      </c>
      <c r="HCB51" s="108">
        <f t="shared" si="685"/>
        <v>0</v>
      </c>
      <c r="HCU51" s="108" t="s">
        <v>64</v>
      </c>
      <c r="HDH51" s="108">
        <f t="shared" si="686"/>
        <v>0</v>
      </c>
      <c r="HEA51" s="108" t="s">
        <v>64</v>
      </c>
      <c r="HEN51" s="108">
        <f t="shared" si="687"/>
        <v>0</v>
      </c>
      <c r="HFG51" s="108" t="s">
        <v>64</v>
      </c>
      <c r="HFT51" s="108">
        <f t="shared" si="688"/>
        <v>0</v>
      </c>
      <c r="HGM51" s="108" t="s">
        <v>64</v>
      </c>
      <c r="HGZ51" s="108">
        <f t="shared" si="689"/>
        <v>0</v>
      </c>
      <c r="HHS51" s="108" t="s">
        <v>64</v>
      </c>
      <c r="HIF51" s="108">
        <f t="shared" si="690"/>
        <v>0</v>
      </c>
      <c r="HIY51" s="108" t="s">
        <v>64</v>
      </c>
      <c r="HJL51" s="108">
        <f t="shared" si="691"/>
        <v>0</v>
      </c>
      <c r="HKE51" s="108" t="s">
        <v>64</v>
      </c>
      <c r="HKR51" s="108">
        <f t="shared" si="692"/>
        <v>0</v>
      </c>
      <c r="HLK51" s="108" t="s">
        <v>64</v>
      </c>
      <c r="HLX51" s="108">
        <f t="shared" si="693"/>
        <v>0</v>
      </c>
      <c r="HMQ51" s="108" t="s">
        <v>64</v>
      </c>
      <c r="HND51" s="108">
        <f t="shared" si="694"/>
        <v>0</v>
      </c>
      <c r="HNW51" s="108" t="s">
        <v>64</v>
      </c>
      <c r="HOJ51" s="108">
        <f t="shared" si="695"/>
        <v>0</v>
      </c>
      <c r="HPC51" s="108" t="s">
        <v>64</v>
      </c>
      <c r="HPP51" s="108">
        <f t="shared" si="696"/>
        <v>0</v>
      </c>
      <c r="HQI51" s="108" t="s">
        <v>64</v>
      </c>
      <c r="HQV51" s="108">
        <f t="shared" si="697"/>
        <v>0</v>
      </c>
      <c r="HRO51" s="108" t="s">
        <v>64</v>
      </c>
      <c r="HSB51" s="108">
        <f t="shared" si="698"/>
        <v>0</v>
      </c>
      <c r="HSU51" s="108" t="s">
        <v>64</v>
      </c>
      <c r="HTH51" s="108">
        <f t="shared" si="699"/>
        <v>0</v>
      </c>
      <c r="HUA51" s="108" t="s">
        <v>64</v>
      </c>
      <c r="HUN51" s="108">
        <f t="shared" si="700"/>
        <v>0</v>
      </c>
      <c r="HVG51" s="108" t="s">
        <v>64</v>
      </c>
      <c r="HVT51" s="108">
        <f t="shared" si="701"/>
        <v>0</v>
      </c>
      <c r="HWM51" s="108" t="s">
        <v>64</v>
      </c>
      <c r="HWZ51" s="108">
        <f t="shared" si="702"/>
        <v>0</v>
      </c>
      <c r="HXS51" s="108" t="s">
        <v>64</v>
      </c>
      <c r="HYF51" s="108">
        <f t="shared" si="703"/>
        <v>0</v>
      </c>
      <c r="HYY51" s="108" t="s">
        <v>64</v>
      </c>
      <c r="HZL51" s="108">
        <f t="shared" si="704"/>
        <v>0</v>
      </c>
      <c r="IAE51" s="108" t="s">
        <v>64</v>
      </c>
      <c r="IAR51" s="108">
        <f t="shared" si="705"/>
        <v>0</v>
      </c>
      <c r="IBK51" s="108" t="s">
        <v>64</v>
      </c>
      <c r="IBX51" s="108">
        <f t="shared" si="706"/>
        <v>0</v>
      </c>
      <c r="ICQ51" s="108" t="s">
        <v>64</v>
      </c>
      <c r="IDD51" s="108">
        <f t="shared" si="707"/>
        <v>0</v>
      </c>
      <c r="IDW51" s="108" t="s">
        <v>64</v>
      </c>
      <c r="IEJ51" s="108">
        <f t="shared" si="708"/>
        <v>0</v>
      </c>
      <c r="IFC51" s="108" t="s">
        <v>64</v>
      </c>
      <c r="IFP51" s="108">
        <f t="shared" si="709"/>
        <v>0</v>
      </c>
      <c r="IGI51" s="108" t="s">
        <v>64</v>
      </c>
      <c r="IGV51" s="108">
        <f t="shared" si="710"/>
        <v>0</v>
      </c>
      <c r="IHO51" s="108" t="s">
        <v>64</v>
      </c>
      <c r="IIB51" s="108">
        <f t="shared" si="711"/>
        <v>0</v>
      </c>
      <c r="IIU51" s="108" t="s">
        <v>64</v>
      </c>
      <c r="IJH51" s="108">
        <f t="shared" si="712"/>
        <v>0</v>
      </c>
      <c r="IKA51" s="108" t="s">
        <v>64</v>
      </c>
      <c r="IKN51" s="108">
        <f t="shared" si="713"/>
        <v>0</v>
      </c>
      <c r="ILG51" s="108" t="s">
        <v>64</v>
      </c>
      <c r="ILT51" s="108">
        <f t="shared" si="714"/>
        <v>0</v>
      </c>
      <c r="IMM51" s="108" t="s">
        <v>64</v>
      </c>
      <c r="IMZ51" s="108">
        <f t="shared" si="715"/>
        <v>0</v>
      </c>
      <c r="INS51" s="108" t="s">
        <v>64</v>
      </c>
      <c r="IOF51" s="108">
        <f t="shared" si="716"/>
        <v>0</v>
      </c>
      <c r="IOY51" s="108" t="s">
        <v>64</v>
      </c>
      <c r="IPL51" s="108">
        <f t="shared" si="717"/>
        <v>0</v>
      </c>
      <c r="IQE51" s="108" t="s">
        <v>64</v>
      </c>
      <c r="IQR51" s="108">
        <f t="shared" si="718"/>
        <v>0</v>
      </c>
      <c r="IRK51" s="108" t="s">
        <v>64</v>
      </c>
      <c r="IRX51" s="108">
        <f t="shared" si="719"/>
        <v>0</v>
      </c>
      <c r="ISQ51" s="108" t="s">
        <v>64</v>
      </c>
      <c r="ITD51" s="108">
        <f t="shared" si="720"/>
        <v>0</v>
      </c>
      <c r="ITW51" s="108" t="s">
        <v>64</v>
      </c>
      <c r="IUJ51" s="108">
        <f t="shared" si="721"/>
        <v>0</v>
      </c>
      <c r="IVC51" s="108" t="s">
        <v>64</v>
      </c>
      <c r="IVP51" s="108">
        <f t="shared" si="722"/>
        <v>0</v>
      </c>
      <c r="IWI51" s="108" t="s">
        <v>64</v>
      </c>
      <c r="IWV51" s="108">
        <f t="shared" si="723"/>
        <v>0</v>
      </c>
      <c r="IXO51" s="108" t="s">
        <v>64</v>
      </c>
      <c r="IYB51" s="108">
        <f t="shared" si="724"/>
        <v>0</v>
      </c>
      <c r="IYU51" s="108" t="s">
        <v>64</v>
      </c>
      <c r="IZH51" s="108">
        <f t="shared" si="725"/>
        <v>0</v>
      </c>
      <c r="JAA51" s="108" t="s">
        <v>64</v>
      </c>
      <c r="JAN51" s="108">
        <f t="shared" si="726"/>
        <v>0</v>
      </c>
      <c r="JBG51" s="108" t="s">
        <v>64</v>
      </c>
      <c r="JBT51" s="108">
        <f t="shared" si="727"/>
        <v>0</v>
      </c>
      <c r="JCM51" s="108" t="s">
        <v>64</v>
      </c>
      <c r="JCZ51" s="108">
        <f t="shared" si="728"/>
        <v>0</v>
      </c>
      <c r="JDS51" s="108" t="s">
        <v>64</v>
      </c>
      <c r="JEF51" s="108">
        <f t="shared" si="729"/>
        <v>0</v>
      </c>
      <c r="JEY51" s="108" t="s">
        <v>64</v>
      </c>
      <c r="JFL51" s="108">
        <f t="shared" si="730"/>
        <v>0</v>
      </c>
      <c r="JGE51" s="108" t="s">
        <v>64</v>
      </c>
      <c r="JGR51" s="108">
        <f t="shared" si="731"/>
        <v>0</v>
      </c>
      <c r="JHK51" s="108" t="s">
        <v>64</v>
      </c>
      <c r="JHX51" s="108">
        <f t="shared" si="732"/>
        <v>0</v>
      </c>
      <c r="JIQ51" s="108" t="s">
        <v>64</v>
      </c>
      <c r="JJD51" s="108">
        <f t="shared" si="733"/>
        <v>0</v>
      </c>
      <c r="JJW51" s="108" t="s">
        <v>64</v>
      </c>
      <c r="JKJ51" s="108">
        <f t="shared" si="734"/>
        <v>0</v>
      </c>
      <c r="JLC51" s="108" t="s">
        <v>64</v>
      </c>
      <c r="JLP51" s="108">
        <f t="shared" si="735"/>
        <v>0</v>
      </c>
      <c r="JMI51" s="108" t="s">
        <v>64</v>
      </c>
      <c r="JMV51" s="108">
        <f t="shared" si="736"/>
        <v>0</v>
      </c>
      <c r="JNO51" s="108" t="s">
        <v>64</v>
      </c>
      <c r="JOB51" s="108">
        <f t="shared" si="737"/>
        <v>0</v>
      </c>
      <c r="JOU51" s="108" t="s">
        <v>64</v>
      </c>
      <c r="JPH51" s="108">
        <f t="shared" si="738"/>
        <v>0</v>
      </c>
      <c r="JQA51" s="108" t="s">
        <v>64</v>
      </c>
      <c r="JQN51" s="108">
        <f t="shared" si="739"/>
        <v>0</v>
      </c>
      <c r="JRG51" s="108" t="s">
        <v>64</v>
      </c>
      <c r="JRT51" s="108">
        <f t="shared" si="740"/>
        <v>0</v>
      </c>
      <c r="JSM51" s="108" t="s">
        <v>64</v>
      </c>
      <c r="JSZ51" s="108">
        <f t="shared" si="741"/>
        <v>0</v>
      </c>
      <c r="JTS51" s="108" t="s">
        <v>64</v>
      </c>
      <c r="JUF51" s="108">
        <f t="shared" si="742"/>
        <v>0</v>
      </c>
      <c r="JUY51" s="108" t="s">
        <v>64</v>
      </c>
      <c r="JVL51" s="108">
        <f t="shared" si="743"/>
        <v>0</v>
      </c>
      <c r="JWE51" s="108" t="s">
        <v>64</v>
      </c>
      <c r="JWR51" s="108">
        <f t="shared" si="744"/>
        <v>0</v>
      </c>
      <c r="JXK51" s="108" t="s">
        <v>64</v>
      </c>
      <c r="JXX51" s="108">
        <f t="shared" si="745"/>
        <v>0</v>
      </c>
      <c r="JYQ51" s="108" t="s">
        <v>64</v>
      </c>
      <c r="JZD51" s="108">
        <f t="shared" si="746"/>
        <v>0</v>
      </c>
      <c r="JZW51" s="108" t="s">
        <v>64</v>
      </c>
      <c r="KAJ51" s="108">
        <f t="shared" si="747"/>
        <v>0</v>
      </c>
      <c r="KBC51" s="108" t="s">
        <v>64</v>
      </c>
      <c r="KBP51" s="108">
        <f t="shared" si="748"/>
        <v>0</v>
      </c>
      <c r="KCI51" s="108" t="s">
        <v>64</v>
      </c>
      <c r="KCV51" s="108">
        <f t="shared" si="749"/>
        <v>0</v>
      </c>
      <c r="KDO51" s="108" t="s">
        <v>64</v>
      </c>
      <c r="KEB51" s="108">
        <f t="shared" si="750"/>
        <v>0</v>
      </c>
      <c r="KEU51" s="108" t="s">
        <v>64</v>
      </c>
      <c r="KFH51" s="108">
        <f t="shared" si="751"/>
        <v>0</v>
      </c>
      <c r="KGA51" s="108" t="s">
        <v>64</v>
      </c>
      <c r="KGN51" s="108">
        <f t="shared" si="752"/>
        <v>0</v>
      </c>
      <c r="KHG51" s="108" t="s">
        <v>64</v>
      </c>
      <c r="KHT51" s="108">
        <f t="shared" si="753"/>
        <v>0</v>
      </c>
      <c r="KIM51" s="108" t="s">
        <v>64</v>
      </c>
      <c r="KIZ51" s="108">
        <f t="shared" si="754"/>
        <v>0</v>
      </c>
      <c r="KJS51" s="108" t="s">
        <v>64</v>
      </c>
      <c r="KKF51" s="108">
        <f t="shared" si="755"/>
        <v>0</v>
      </c>
      <c r="KKY51" s="108" t="s">
        <v>64</v>
      </c>
      <c r="KLL51" s="108">
        <f t="shared" si="756"/>
        <v>0</v>
      </c>
      <c r="KME51" s="108" t="s">
        <v>64</v>
      </c>
      <c r="KMR51" s="108">
        <f t="shared" si="757"/>
        <v>0</v>
      </c>
      <c r="KNK51" s="108" t="s">
        <v>64</v>
      </c>
      <c r="KNX51" s="108">
        <f t="shared" si="758"/>
        <v>0</v>
      </c>
      <c r="KOQ51" s="108" t="s">
        <v>64</v>
      </c>
      <c r="KPD51" s="108">
        <f t="shared" si="759"/>
        <v>0</v>
      </c>
      <c r="KPW51" s="108" t="s">
        <v>64</v>
      </c>
      <c r="KQJ51" s="108">
        <f t="shared" si="760"/>
        <v>0</v>
      </c>
      <c r="KRC51" s="108" t="s">
        <v>64</v>
      </c>
      <c r="KRP51" s="108">
        <f t="shared" si="761"/>
        <v>0</v>
      </c>
      <c r="KSI51" s="108" t="s">
        <v>64</v>
      </c>
      <c r="KSV51" s="108">
        <f t="shared" si="762"/>
        <v>0</v>
      </c>
      <c r="KTO51" s="108" t="s">
        <v>64</v>
      </c>
      <c r="KUB51" s="108">
        <f t="shared" si="763"/>
        <v>0</v>
      </c>
      <c r="KUU51" s="108" t="s">
        <v>64</v>
      </c>
      <c r="KVH51" s="108">
        <f t="shared" si="764"/>
        <v>0</v>
      </c>
      <c r="KWA51" s="108" t="s">
        <v>64</v>
      </c>
      <c r="KWN51" s="108">
        <f t="shared" si="765"/>
        <v>0</v>
      </c>
      <c r="KXG51" s="108" t="s">
        <v>64</v>
      </c>
      <c r="KXT51" s="108">
        <f t="shared" si="766"/>
        <v>0</v>
      </c>
      <c r="KYM51" s="108" t="s">
        <v>64</v>
      </c>
      <c r="KYZ51" s="108">
        <f t="shared" si="767"/>
        <v>0</v>
      </c>
      <c r="KZS51" s="108" t="s">
        <v>64</v>
      </c>
      <c r="LAF51" s="108">
        <f t="shared" si="768"/>
        <v>0</v>
      </c>
      <c r="LAY51" s="108" t="s">
        <v>64</v>
      </c>
      <c r="LBL51" s="108">
        <f t="shared" si="769"/>
        <v>0</v>
      </c>
      <c r="LCE51" s="108" t="s">
        <v>64</v>
      </c>
      <c r="LCR51" s="108">
        <f t="shared" si="770"/>
        <v>0</v>
      </c>
      <c r="LDK51" s="108" t="s">
        <v>64</v>
      </c>
      <c r="LDX51" s="108">
        <f t="shared" si="771"/>
        <v>0</v>
      </c>
      <c r="LEQ51" s="108" t="s">
        <v>64</v>
      </c>
      <c r="LFD51" s="108">
        <f t="shared" si="772"/>
        <v>0</v>
      </c>
      <c r="LFW51" s="108" t="s">
        <v>64</v>
      </c>
      <c r="LGJ51" s="108">
        <f t="shared" si="773"/>
        <v>0</v>
      </c>
      <c r="LHC51" s="108" t="s">
        <v>64</v>
      </c>
      <c r="LHP51" s="108">
        <f t="shared" si="774"/>
        <v>0</v>
      </c>
      <c r="LII51" s="108" t="s">
        <v>64</v>
      </c>
      <c r="LIV51" s="108">
        <f t="shared" si="775"/>
        <v>0</v>
      </c>
      <c r="LJO51" s="108" t="s">
        <v>64</v>
      </c>
      <c r="LKB51" s="108">
        <f t="shared" si="776"/>
        <v>0</v>
      </c>
      <c r="LKU51" s="108" t="s">
        <v>64</v>
      </c>
      <c r="LLH51" s="108">
        <f t="shared" si="777"/>
        <v>0</v>
      </c>
      <c r="LMA51" s="108" t="s">
        <v>64</v>
      </c>
      <c r="LMN51" s="108">
        <f t="shared" si="778"/>
        <v>0</v>
      </c>
      <c r="LNG51" s="108" t="s">
        <v>64</v>
      </c>
      <c r="LNT51" s="108">
        <f t="shared" si="779"/>
        <v>0</v>
      </c>
      <c r="LOM51" s="108" t="s">
        <v>64</v>
      </c>
      <c r="LOZ51" s="108">
        <f t="shared" si="780"/>
        <v>0</v>
      </c>
      <c r="LPS51" s="108" t="s">
        <v>64</v>
      </c>
      <c r="LQF51" s="108">
        <f t="shared" si="781"/>
        <v>0</v>
      </c>
      <c r="LQY51" s="108" t="s">
        <v>64</v>
      </c>
      <c r="LRL51" s="108">
        <f t="shared" si="782"/>
        <v>0</v>
      </c>
      <c r="LSE51" s="108" t="s">
        <v>64</v>
      </c>
      <c r="LSR51" s="108">
        <f t="shared" si="783"/>
        <v>0</v>
      </c>
      <c r="LTK51" s="108" t="s">
        <v>64</v>
      </c>
      <c r="LTX51" s="108">
        <f t="shared" si="784"/>
        <v>0</v>
      </c>
      <c r="LUQ51" s="108" t="s">
        <v>64</v>
      </c>
      <c r="LVD51" s="108">
        <f t="shared" si="785"/>
        <v>0</v>
      </c>
      <c r="LVW51" s="108" t="s">
        <v>64</v>
      </c>
      <c r="LWJ51" s="108">
        <f t="shared" si="786"/>
        <v>0</v>
      </c>
      <c r="LXC51" s="108" t="s">
        <v>64</v>
      </c>
      <c r="LXP51" s="108">
        <f t="shared" si="787"/>
        <v>0</v>
      </c>
      <c r="LYI51" s="108" t="s">
        <v>64</v>
      </c>
      <c r="LYV51" s="108">
        <f t="shared" si="788"/>
        <v>0</v>
      </c>
      <c r="LZO51" s="108" t="s">
        <v>64</v>
      </c>
      <c r="MAB51" s="108">
        <f t="shared" si="789"/>
        <v>0</v>
      </c>
      <c r="MAU51" s="108" t="s">
        <v>64</v>
      </c>
      <c r="MBH51" s="108">
        <f t="shared" si="790"/>
        <v>0</v>
      </c>
      <c r="MCA51" s="108" t="s">
        <v>64</v>
      </c>
      <c r="MCN51" s="108">
        <f t="shared" si="791"/>
        <v>0</v>
      </c>
      <c r="MDG51" s="108" t="s">
        <v>64</v>
      </c>
      <c r="MDT51" s="108">
        <f t="shared" si="792"/>
        <v>0</v>
      </c>
      <c r="MEM51" s="108" t="s">
        <v>64</v>
      </c>
      <c r="MEZ51" s="108">
        <f t="shared" si="793"/>
        <v>0</v>
      </c>
      <c r="MFS51" s="108" t="s">
        <v>64</v>
      </c>
      <c r="MGF51" s="108">
        <f t="shared" si="794"/>
        <v>0</v>
      </c>
      <c r="MGY51" s="108" t="s">
        <v>64</v>
      </c>
      <c r="MHL51" s="108">
        <f t="shared" si="795"/>
        <v>0</v>
      </c>
      <c r="MIE51" s="108" t="s">
        <v>64</v>
      </c>
      <c r="MIR51" s="108">
        <f t="shared" si="796"/>
        <v>0</v>
      </c>
      <c r="MJK51" s="108" t="s">
        <v>64</v>
      </c>
      <c r="MJX51" s="108">
        <f t="shared" si="797"/>
        <v>0</v>
      </c>
      <c r="MKQ51" s="108" t="s">
        <v>64</v>
      </c>
      <c r="MLD51" s="108">
        <f t="shared" si="798"/>
        <v>0</v>
      </c>
      <c r="MLW51" s="108" t="s">
        <v>64</v>
      </c>
      <c r="MMJ51" s="108">
        <f t="shared" si="799"/>
        <v>0</v>
      </c>
      <c r="MNC51" s="108" t="s">
        <v>64</v>
      </c>
      <c r="MNP51" s="108">
        <f t="shared" si="800"/>
        <v>0</v>
      </c>
      <c r="MOI51" s="108" t="s">
        <v>64</v>
      </c>
      <c r="MOV51" s="108">
        <f t="shared" si="801"/>
        <v>0</v>
      </c>
      <c r="MPO51" s="108" t="s">
        <v>64</v>
      </c>
      <c r="MQB51" s="108">
        <f t="shared" si="802"/>
        <v>0</v>
      </c>
      <c r="MQU51" s="108" t="s">
        <v>64</v>
      </c>
      <c r="MRH51" s="108">
        <f t="shared" si="803"/>
        <v>0</v>
      </c>
      <c r="MSA51" s="108" t="s">
        <v>64</v>
      </c>
      <c r="MSN51" s="108">
        <f t="shared" si="804"/>
        <v>0</v>
      </c>
      <c r="MTG51" s="108" t="s">
        <v>64</v>
      </c>
      <c r="MTT51" s="108">
        <f t="shared" si="805"/>
        <v>0</v>
      </c>
      <c r="MUM51" s="108" t="s">
        <v>64</v>
      </c>
      <c r="MUZ51" s="108">
        <f t="shared" si="806"/>
        <v>0</v>
      </c>
      <c r="MVS51" s="108" t="s">
        <v>64</v>
      </c>
      <c r="MWF51" s="108">
        <f t="shared" si="807"/>
        <v>0</v>
      </c>
      <c r="MWY51" s="108" t="s">
        <v>64</v>
      </c>
      <c r="MXL51" s="108">
        <f t="shared" si="808"/>
        <v>0</v>
      </c>
      <c r="MYE51" s="108" t="s">
        <v>64</v>
      </c>
      <c r="MYR51" s="108">
        <f t="shared" si="809"/>
        <v>0</v>
      </c>
      <c r="MZK51" s="108" t="s">
        <v>64</v>
      </c>
      <c r="MZX51" s="108">
        <f t="shared" si="810"/>
        <v>0</v>
      </c>
      <c r="NAQ51" s="108" t="s">
        <v>64</v>
      </c>
      <c r="NBD51" s="108">
        <f t="shared" si="811"/>
        <v>0</v>
      </c>
      <c r="NBW51" s="108" t="s">
        <v>64</v>
      </c>
      <c r="NCJ51" s="108">
        <f t="shared" si="812"/>
        <v>0</v>
      </c>
      <c r="NDC51" s="108" t="s">
        <v>64</v>
      </c>
      <c r="NDP51" s="108">
        <f t="shared" si="813"/>
        <v>0</v>
      </c>
      <c r="NEI51" s="108" t="s">
        <v>64</v>
      </c>
      <c r="NEV51" s="108">
        <f t="shared" si="814"/>
        <v>0</v>
      </c>
      <c r="NFO51" s="108" t="s">
        <v>64</v>
      </c>
      <c r="NGB51" s="108">
        <f t="shared" si="815"/>
        <v>0</v>
      </c>
      <c r="NGU51" s="108" t="s">
        <v>64</v>
      </c>
      <c r="NHH51" s="108">
        <f t="shared" si="816"/>
        <v>0</v>
      </c>
      <c r="NIA51" s="108" t="s">
        <v>64</v>
      </c>
      <c r="NIN51" s="108">
        <f t="shared" si="817"/>
        <v>0</v>
      </c>
      <c r="NJG51" s="108" t="s">
        <v>64</v>
      </c>
      <c r="NJT51" s="108">
        <f t="shared" si="818"/>
        <v>0</v>
      </c>
      <c r="NKM51" s="108" t="s">
        <v>64</v>
      </c>
      <c r="NKZ51" s="108">
        <f t="shared" si="819"/>
        <v>0</v>
      </c>
      <c r="NLS51" s="108" t="s">
        <v>64</v>
      </c>
      <c r="NMF51" s="108">
        <f t="shared" si="820"/>
        <v>0</v>
      </c>
      <c r="NMY51" s="108" t="s">
        <v>64</v>
      </c>
      <c r="NNL51" s="108">
        <f t="shared" si="821"/>
        <v>0</v>
      </c>
      <c r="NOE51" s="108" t="s">
        <v>64</v>
      </c>
      <c r="NOR51" s="108">
        <f t="shared" si="822"/>
        <v>0</v>
      </c>
      <c r="NPK51" s="108" t="s">
        <v>64</v>
      </c>
      <c r="NPX51" s="108">
        <f t="shared" si="823"/>
        <v>0</v>
      </c>
      <c r="NQQ51" s="108" t="s">
        <v>64</v>
      </c>
      <c r="NRD51" s="108">
        <f t="shared" si="824"/>
        <v>0</v>
      </c>
      <c r="NRW51" s="108" t="s">
        <v>64</v>
      </c>
      <c r="NSJ51" s="108">
        <f t="shared" si="825"/>
        <v>0</v>
      </c>
      <c r="NTC51" s="108" t="s">
        <v>64</v>
      </c>
      <c r="NTP51" s="108">
        <f t="shared" si="826"/>
        <v>0</v>
      </c>
      <c r="NUI51" s="108" t="s">
        <v>64</v>
      </c>
      <c r="NUV51" s="108">
        <f t="shared" si="827"/>
        <v>0</v>
      </c>
      <c r="NVO51" s="108" t="s">
        <v>64</v>
      </c>
      <c r="NWB51" s="108">
        <f t="shared" si="828"/>
        <v>0</v>
      </c>
      <c r="NWU51" s="108" t="s">
        <v>64</v>
      </c>
      <c r="NXH51" s="108">
        <f t="shared" si="829"/>
        <v>0</v>
      </c>
      <c r="NYA51" s="108" t="s">
        <v>64</v>
      </c>
      <c r="NYN51" s="108">
        <f t="shared" si="830"/>
        <v>0</v>
      </c>
      <c r="NZG51" s="108" t="s">
        <v>64</v>
      </c>
      <c r="NZT51" s="108">
        <f t="shared" si="831"/>
        <v>0</v>
      </c>
      <c r="OAM51" s="108" t="s">
        <v>64</v>
      </c>
      <c r="OAZ51" s="108">
        <f t="shared" si="832"/>
        <v>0</v>
      </c>
      <c r="OBS51" s="108" t="s">
        <v>64</v>
      </c>
      <c r="OCF51" s="108">
        <f t="shared" si="833"/>
        <v>0</v>
      </c>
      <c r="OCY51" s="108" t="s">
        <v>64</v>
      </c>
      <c r="ODL51" s="108">
        <f t="shared" si="834"/>
        <v>0</v>
      </c>
      <c r="OEE51" s="108" t="s">
        <v>64</v>
      </c>
      <c r="OER51" s="108">
        <f t="shared" si="835"/>
        <v>0</v>
      </c>
      <c r="OFK51" s="108" t="s">
        <v>64</v>
      </c>
      <c r="OFX51" s="108">
        <f t="shared" si="836"/>
        <v>0</v>
      </c>
      <c r="OGQ51" s="108" t="s">
        <v>64</v>
      </c>
      <c r="OHD51" s="108">
        <f t="shared" si="837"/>
        <v>0</v>
      </c>
      <c r="OHW51" s="108" t="s">
        <v>64</v>
      </c>
      <c r="OIJ51" s="108">
        <f t="shared" si="838"/>
        <v>0</v>
      </c>
      <c r="OJC51" s="108" t="s">
        <v>64</v>
      </c>
      <c r="OJP51" s="108">
        <f t="shared" si="839"/>
        <v>0</v>
      </c>
      <c r="OKI51" s="108" t="s">
        <v>64</v>
      </c>
      <c r="OKV51" s="108">
        <f t="shared" si="840"/>
        <v>0</v>
      </c>
      <c r="OLO51" s="108" t="s">
        <v>64</v>
      </c>
      <c r="OMB51" s="108">
        <f t="shared" si="841"/>
        <v>0</v>
      </c>
      <c r="OMU51" s="108" t="s">
        <v>64</v>
      </c>
      <c r="ONH51" s="108">
        <f t="shared" si="842"/>
        <v>0</v>
      </c>
      <c r="OOA51" s="108" t="s">
        <v>64</v>
      </c>
      <c r="OON51" s="108">
        <f t="shared" si="843"/>
        <v>0</v>
      </c>
      <c r="OPG51" s="108" t="s">
        <v>64</v>
      </c>
      <c r="OPT51" s="108">
        <f t="shared" si="844"/>
        <v>0</v>
      </c>
      <c r="OQM51" s="108" t="s">
        <v>64</v>
      </c>
      <c r="OQZ51" s="108">
        <f t="shared" si="845"/>
        <v>0</v>
      </c>
      <c r="ORS51" s="108" t="s">
        <v>64</v>
      </c>
      <c r="OSF51" s="108">
        <f t="shared" si="846"/>
        <v>0</v>
      </c>
      <c r="OSY51" s="108" t="s">
        <v>64</v>
      </c>
      <c r="OTL51" s="108">
        <f t="shared" si="847"/>
        <v>0</v>
      </c>
      <c r="OUE51" s="108" t="s">
        <v>64</v>
      </c>
      <c r="OUR51" s="108">
        <f t="shared" si="848"/>
        <v>0</v>
      </c>
      <c r="OVK51" s="108" t="s">
        <v>64</v>
      </c>
      <c r="OVX51" s="108">
        <f t="shared" si="849"/>
        <v>0</v>
      </c>
      <c r="OWQ51" s="108" t="s">
        <v>64</v>
      </c>
      <c r="OXD51" s="108">
        <f t="shared" si="850"/>
        <v>0</v>
      </c>
      <c r="OXW51" s="108" t="s">
        <v>64</v>
      </c>
      <c r="OYJ51" s="108">
        <f t="shared" si="851"/>
        <v>0</v>
      </c>
      <c r="OZC51" s="108" t="s">
        <v>64</v>
      </c>
      <c r="OZP51" s="108">
        <f t="shared" si="852"/>
        <v>0</v>
      </c>
      <c r="PAI51" s="108" t="s">
        <v>64</v>
      </c>
      <c r="PAV51" s="108">
        <f t="shared" si="853"/>
        <v>0</v>
      </c>
      <c r="PBO51" s="108" t="s">
        <v>64</v>
      </c>
      <c r="PCB51" s="108">
        <f t="shared" si="854"/>
        <v>0</v>
      </c>
      <c r="PCU51" s="108" t="s">
        <v>64</v>
      </c>
      <c r="PDH51" s="108">
        <f t="shared" si="855"/>
        <v>0</v>
      </c>
      <c r="PEA51" s="108" t="s">
        <v>64</v>
      </c>
      <c r="PEN51" s="108">
        <f t="shared" si="856"/>
        <v>0</v>
      </c>
      <c r="PFG51" s="108" t="s">
        <v>64</v>
      </c>
      <c r="PFT51" s="108">
        <f t="shared" si="857"/>
        <v>0</v>
      </c>
      <c r="PGM51" s="108" t="s">
        <v>64</v>
      </c>
      <c r="PGZ51" s="108">
        <f t="shared" si="858"/>
        <v>0</v>
      </c>
      <c r="PHS51" s="108" t="s">
        <v>64</v>
      </c>
      <c r="PIF51" s="108">
        <f t="shared" si="859"/>
        <v>0</v>
      </c>
      <c r="PIY51" s="108" t="s">
        <v>64</v>
      </c>
      <c r="PJL51" s="108">
        <f t="shared" si="860"/>
        <v>0</v>
      </c>
      <c r="PKE51" s="108" t="s">
        <v>64</v>
      </c>
      <c r="PKR51" s="108">
        <f t="shared" si="861"/>
        <v>0</v>
      </c>
      <c r="PLK51" s="108" t="s">
        <v>64</v>
      </c>
      <c r="PLX51" s="108">
        <f t="shared" si="862"/>
        <v>0</v>
      </c>
      <c r="PMQ51" s="108" t="s">
        <v>64</v>
      </c>
      <c r="PND51" s="108">
        <f t="shared" si="863"/>
        <v>0</v>
      </c>
      <c r="PNW51" s="108" t="s">
        <v>64</v>
      </c>
      <c r="POJ51" s="108">
        <f t="shared" si="864"/>
        <v>0</v>
      </c>
      <c r="PPC51" s="108" t="s">
        <v>64</v>
      </c>
      <c r="PPP51" s="108">
        <f t="shared" si="865"/>
        <v>0</v>
      </c>
      <c r="PQI51" s="108" t="s">
        <v>64</v>
      </c>
      <c r="PQV51" s="108">
        <f t="shared" si="866"/>
        <v>0</v>
      </c>
      <c r="PRO51" s="108" t="s">
        <v>64</v>
      </c>
      <c r="PSB51" s="108">
        <f t="shared" si="867"/>
        <v>0</v>
      </c>
      <c r="PSU51" s="108" t="s">
        <v>64</v>
      </c>
      <c r="PTH51" s="108">
        <f t="shared" si="868"/>
        <v>0</v>
      </c>
      <c r="PUA51" s="108" t="s">
        <v>64</v>
      </c>
      <c r="PUN51" s="108">
        <f t="shared" si="869"/>
        <v>0</v>
      </c>
      <c r="PVG51" s="108" t="s">
        <v>64</v>
      </c>
      <c r="PVT51" s="108">
        <f t="shared" si="870"/>
        <v>0</v>
      </c>
      <c r="PWM51" s="108" t="s">
        <v>64</v>
      </c>
      <c r="PWZ51" s="108">
        <f t="shared" si="871"/>
        <v>0</v>
      </c>
      <c r="PXS51" s="108" t="s">
        <v>64</v>
      </c>
      <c r="PYF51" s="108">
        <f t="shared" si="872"/>
        <v>0</v>
      </c>
      <c r="PYY51" s="108" t="s">
        <v>64</v>
      </c>
      <c r="PZL51" s="108">
        <f t="shared" si="873"/>
        <v>0</v>
      </c>
      <c r="QAE51" s="108" t="s">
        <v>64</v>
      </c>
      <c r="QAR51" s="108">
        <f t="shared" si="874"/>
        <v>0</v>
      </c>
      <c r="QBK51" s="108" t="s">
        <v>64</v>
      </c>
      <c r="QBX51" s="108">
        <f t="shared" si="875"/>
        <v>0</v>
      </c>
      <c r="QCQ51" s="108" t="s">
        <v>64</v>
      </c>
      <c r="QDD51" s="108">
        <f t="shared" si="876"/>
        <v>0</v>
      </c>
      <c r="QDW51" s="108" t="s">
        <v>64</v>
      </c>
      <c r="QEJ51" s="108">
        <f t="shared" si="877"/>
        <v>0</v>
      </c>
      <c r="QFC51" s="108" t="s">
        <v>64</v>
      </c>
      <c r="QFP51" s="108">
        <f t="shared" si="878"/>
        <v>0</v>
      </c>
      <c r="QGI51" s="108" t="s">
        <v>64</v>
      </c>
      <c r="QGV51" s="108">
        <f t="shared" si="879"/>
        <v>0</v>
      </c>
      <c r="QHO51" s="108" t="s">
        <v>64</v>
      </c>
      <c r="QIB51" s="108">
        <f t="shared" si="880"/>
        <v>0</v>
      </c>
      <c r="QIU51" s="108" t="s">
        <v>64</v>
      </c>
      <c r="QJH51" s="108">
        <f t="shared" si="881"/>
        <v>0</v>
      </c>
      <c r="QKA51" s="108" t="s">
        <v>64</v>
      </c>
      <c r="QKN51" s="108">
        <f t="shared" si="882"/>
        <v>0</v>
      </c>
      <c r="QLG51" s="108" t="s">
        <v>64</v>
      </c>
      <c r="QLT51" s="108">
        <f t="shared" si="883"/>
        <v>0</v>
      </c>
      <c r="QMM51" s="108" t="s">
        <v>64</v>
      </c>
      <c r="QMZ51" s="108">
        <f t="shared" si="884"/>
        <v>0</v>
      </c>
      <c r="QNS51" s="108" t="s">
        <v>64</v>
      </c>
      <c r="QOF51" s="108">
        <f t="shared" si="885"/>
        <v>0</v>
      </c>
      <c r="QOY51" s="108" t="s">
        <v>64</v>
      </c>
      <c r="QPL51" s="108">
        <f t="shared" si="886"/>
        <v>0</v>
      </c>
      <c r="QQE51" s="108" t="s">
        <v>64</v>
      </c>
      <c r="QQR51" s="108">
        <f t="shared" si="887"/>
        <v>0</v>
      </c>
      <c r="QRK51" s="108" t="s">
        <v>64</v>
      </c>
      <c r="QRX51" s="108">
        <f t="shared" si="888"/>
        <v>0</v>
      </c>
      <c r="QSQ51" s="108" t="s">
        <v>64</v>
      </c>
      <c r="QTD51" s="108">
        <f t="shared" si="889"/>
        <v>0</v>
      </c>
      <c r="QTW51" s="108" t="s">
        <v>64</v>
      </c>
      <c r="QUJ51" s="108">
        <f t="shared" si="890"/>
        <v>0</v>
      </c>
      <c r="QVC51" s="108" t="s">
        <v>64</v>
      </c>
      <c r="QVP51" s="108">
        <f t="shared" si="891"/>
        <v>0</v>
      </c>
      <c r="QWI51" s="108" t="s">
        <v>64</v>
      </c>
      <c r="QWV51" s="108">
        <f t="shared" si="892"/>
        <v>0</v>
      </c>
      <c r="QXO51" s="108" t="s">
        <v>64</v>
      </c>
      <c r="QYB51" s="108">
        <f t="shared" si="893"/>
        <v>0</v>
      </c>
      <c r="QYU51" s="108" t="s">
        <v>64</v>
      </c>
      <c r="QZH51" s="108">
        <f t="shared" si="894"/>
        <v>0</v>
      </c>
      <c r="RAA51" s="108" t="s">
        <v>64</v>
      </c>
      <c r="RAN51" s="108">
        <f t="shared" si="895"/>
        <v>0</v>
      </c>
      <c r="RBG51" s="108" t="s">
        <v>64</v>
      </c>
      <c r="RBT51" s="108">
        <f t="shared" si="896"/>
        <v>0</v>
      </c>
      <c r="RCM51" s="108" t="s">
        <v>64</v>
      </c>
      <c r="RCZ51" s="108">
        <f t="shared" si="897"/>
        <v>0</v>
      </c>
      <c r="RDS51" s="108" t="s">
        <v>64</v>
      </c>
      <c r="REF51" s="108">
        <f t="shared" si="898"/>
        <v>0</v>
      </c>
      <c r="REY51" s="108" t="s">
        <v>64</v>
      </c>
      <c r="RFL51" s="108">
        <f t="shared" si="899"/>
        <v>0</v>
      </c>
      <c r="RGE51" s="108" t="s">
        <v>64</v>
      </c>
      <c r="RGR51" s="108">
        <f t="shared" si="900"/>
        <v>0</v>
      </c>
      <c r="RHK51" s="108" t="s">
        <v>64</v>
      </c>
      <c r="RHX51" s="108">
        <f t="shared" si="901"/>
        <v>0</v>
      </c>
      <c r="RIQ51" s="108" t="s">
        <v>64</v>
      </c>
      <c r="RJD51" s="108">
        <f t="shared" si="902"/>
        <v>0</v>
      </c>
      <c r="RJW51" s="108" t="s">
        <v>64</v>
      </c>
      <c r="RKJ51" s="108">
        <f t="shared" si="903"/>
        <v>0</v>
      </c>
      <c r="RLC51" s="108" t="s">
        <v>64</v>
      </c>
      <c r="RLP51" s="108">
        <f t="shared" si="904"/>
        <v>0</v>
      </c>
      <c r="RMI51" s="108" t="s">
        <v>64</v>
      </c>
      <c r="RMV51" s="108">
        <f t="shared" si="905"/>
        <v>0</v>
      </c>
      <c r="RNO51" s="108" t="s">
        <v>64</v>
      </c>
      <c r="ROB51" s="108">
        <f t="shared" si="906"/>
        <v>0</v>
      </c>
      <c r="ROU51" s="108" t="s">
        <v>64</v>
      </c>
      <c r="RPH51" s="108">
        <f t="shared" si="907"/>
        <v>0</v>
      </c>
      <c r="RQA51" s="108" t="s">
        <v>64</v>
      </c>
      <c r="RQN51" s="108">
        <f t="shared" si="908"/>
        <v>0</v>
      </c>
      <c r="RRG51" s="108" t="s">
        <v>64</v>
      </c>
      <c r="RRT51" s="108">
        <f t="shared" si="909"/>
        <v>0</v>
      </c>
      <c r="RSM51" s="108" t="s">
        <v>64</v>
      </c>
      <c r="RSZ51" s="108">
        <f t="shared" si="910"/>
        <v>0</v>
      </c>
      <c r="RTS51" s="108" t="s">
        <v>64</v>
      </c>
      <c r="RUF51" s="108">
        <f t="shared" si="911"/>
        <v>0</v>
      </c>
      <c r="RUY51" s="108" t="s">
        <v>64</v>
      </c>
      <c r="RVL51" s="108">
        <f t="shared" si="912"/>
        <v>0</v>
      </c>
      <c r="RWE51" s="108" t="s">
        <v>64</v>
      </c>
      <c r="RWR51" s="108">
        <f t="shared" si="913"/>
        <v>0</v>
      </c>
      <c r="RXK51" s="108" t="s">
        <v>64</v>
      </c>
      <c r="RXX51" s="108">
        <f t="shared" si="914"/>
        <v>0</v>
      </c>
      <c r="RYQ51" s="108" t="s">
        <v>64</v>
      </c>
      <c r="RZD51" s="108">
        <f t="shared" si="915"/>
        <v>0</v>
      </c>
      <c r="RZW51" s="108" t="s">
        <v>64</v>
      </c>
      <c r="SAJ51" s="108">
        <f t="shared" si="916"/>
        <v>0</v>
      </c>
      <c r="SBC51" s="108" t="s">
        <v>64</v>
      </c>
      <c r="SBP51" s="108">
        <f t="shared" si="917"/>
        <v>0</v>
      </c>
      <c r="SCI51" s="108" t="s">
        <v>64</v>
      </c>
      <c r="SCV51" s="108">
        <f t="shared" si="918"/>
        <v>0</v>
      </c>
      <c r="SDO51" s="108" t="s">
        <v>64</v>
      </c>
      <c r="SEB51" s="108">
        <f t="shared" si="919"/>
        <v>0</v>
      </c>
      <c r="SEU51" s="108" t="s">
        <v>64</v>
      </c>
      <c r="SFH51" s="108">
        <f t="shared" si="920"/>
        <v>0</v>
      </c>
      <c r="SGA51" s="108" t="s">
        <v>64</v>
      </c>
      <c r="SGN51" s="108">
        <f t="shared" si="921"/>
        <v>0</v>
      </c>
      <c r="SHG51" s="108" t="s">
        <v>64</v>
      </c>
      <c r="SHT51" s="108">
        <f t="shared" si="922"/>
        <v>0</v>
      </c>
      <c r="SIM51" s="108" t="s">
        <v>64</v>
      </c>
      <c r="SIZ51" s="108">
        <f t="shared" si="923"/>
        <v>0</v>
      </c>
      <c r="SJS51" s="108" t="s">
        <v>64</v>
      </c>
      <c r="SKF51" s="108">
        <f t="shared" si="924"/>
        <v>0</v>
      </c>
      <c r="SKY51" s="108" t="s">
        <v>64</v>
      </c>
      <c r="SLL51" s="108">
        <f t="shared" si="925"/>
        <v>0</v>
      </c>
      <c r="SME51" s="108" t="s">
        <v>64</v>
      </c>
      <c r="SMR51" s="108">
        <f t="shared" si="926"/>
        <v>0</v>
      </c>
      <c r="SNK51" s="108" t="s">
        <v>64</v>
      </c>
      <c r="SNX51" s="108">
        <f t="shared" si="927"/>
        <v>0</v>
      </c>
      <c r="SOQ51" s="108" t="s">
        <v>64</v>
      </c>
      <c r="SPD51" s="108">
        <f t="shared" si="928"/>
        <v>0</v>
      </c>
      <c r="SPW51" s="108" t="s">
        <v>64</v>
      </c>
      <c r="SQJ51" s="108">
        <f t="shared" si="929"/>
        <v>0</v>
      </c>
      <c r="SRC51" s="108" t="s">
        <v>64</v>
      </c>
      <c r="SRP51" s="108">
        <f t="shared" si="930"/>
        <v>0</v>
      </c>
      <c r="SSI51" s="108" t="s">
        <v>64</v>
      </c>
      <c r="SSV51" s="108">
        <f t="shared" si="931"/>
        <v>0</v>
      </c>
      <c r="STO51" s="108" t="s">
        <v>64</v>
      </c>
      <c r="SUB51" s="108">
        <f t="shared" si="932"/>
        <v>0</v>
      </c>
      <c r="SUU51" s="108" t="s">
        <v>64</v>
      </c>
      <c r="SVH51" s="108">
        <f t="shared" si="933"/>
        <v>0</v>
      </c>
      <c r="SWA51" s="108" t="s">
        <v>64</v>
      </c>
      <c r="SWN51" s="108">
        <f t="shared" si="934"/>
        <v>0</v>
      </c>
      <c r="SXG51" s="108" t="s">
        <v>64</v>
      </c>
      <c r="SXT51" s="108">
        <f t="shared" si="935"/>
        <v>0</v>
      </c>
      <c r="SYM51" s="108" t="s">
        <v>64</v>
      </c>
      <c r="SYZ51" s="108">
        <f t="shared" si="936"/>
        <v>0</v>
      </c>
      <c r="SZS51" s="108" t="s">
        <v>64</v>
      </c>
      <c r="TAF51" s="108">
        <f t="shared" si="937"/>
        <v>0</v>
      </c>
      <c r="TAY51" s="108" t="s">
        <v>64</v>
      </c>
      <c r="TBL51" s="108">
        <f t="shared" si="938"/>
        <v>0</v>
      </c>
      <c r="TCE51" s="108" t="s">
        <v>64</v>
      </c>
      <c r="TCR51" s="108">
        <f t="shared" si="939"/>
        <v>0</v>
      </c>
      <c r="TDK51" s="108" t="s">
        <v>64</v>
      </c>
      <c r="TDX51" s="108">
        <f t="shared" si="940"/>
        <v>0</v>
      </c>
      <c r="TEQ51" s="108" t="s">
        <v>64</v>
      </c>
      <c r="TFD51" s="108">
        <f t="shared" si="941"/>
        <v>0</v>
      </c>
      <c r="TFW51" s="108" t="s">
        <v>64</v>
      </c>
      <c r="TGJ51" s="108">
        <f t="shared" si="942"/>
        <v>0</v>
      </c>
      <c r="THC51" s="108" t="s">
        <v>64</v>
      </c>
      <c r="THP51" s="108">
        <f t="shared" si="943"/>
        <v>0</v>
      </c>
      <c r="TII51" s="108" t="s">
        <v>64</v>
      </c>
      <c r="TIV51" s="108">
        <f t="shared" si="944"/>
        <v>0</v>
      </c>
      <c r="TJO51" s="108" t="s">
        <v>64</v>
      </c>
      <c r="TKB51" s="108">
        <f t="shared" si="945"/>
        <v>0</v>
      </c>
      <c r="TKU51" s="108" t="s">
        <v>64</v>
      </c>
      <c r="TLH51" s="108">
        <f t="shared" si="946"/>
        <v>0</v>
      </c>
      <c r="TMA51" s="108" t="s">
        <v>64</v>
      </c>
      <c r="TMN51" s="108">
        <f t="shared" si="947"/>
        <v>0</v>
      </c>
      <c r="TNG51" s="108" t="s">
        <v>64</v>
      </c>
      <c r="TNT51" s="108">
        <f t="shared" si="948"/>
        <v>0</v>
      </c>
      <c r="TOM51" s="108" t="s">
        <v>64</v>
      </c>
      <c r="TOZ51" s="108">
        <f t="shared" si="949"/>
        <v>0</v>
      </c>
      <c r="TPS51" s="108" t="s">
        <v>64</v>
      </c>
      <c r="TQF51" s="108">
        <f t="shared" si="950"/>
        <v>0</v>
      </c>
      <c r="TQY51" s="108" t="s">
        <v>64</v>
      </c>
      <c r="TRL51" s="108">
        <f t="shared" si="951"/>
        <v>0</v>
      </c>
      <c r="TSE51" s="108" t="s">
        <v>64</v>
      </c>
      <c r="TSR51" s="108">
        <f t="shared" si="952"/>
        <v>0</v>
      </c>
      <c r="TTK51" s="108" t="s">
        <v>64</v>
      </c>
      <c r="TTX51" s="108">
        <f t="shared" si="953"/>
        <v>0</v>
      </c>
      <c r="TUQ51" s="108" t="s">
        <v>64</v>
      </c>
      <c r="TVD51" s="108">
        <f t="shared" si="954"/>
        <v>0</v>
      </c>
      <c r="TVW51" s="108" t="s">
        <v>64</v>
      </c>
      <c r="TWJ51" s="108">
        <f t="shared" si="955"/>
        <v>0</v>
      </c>
      <c r="TXC51" s="108" t="s">
        <v>64</v>
      </c>
      <c r="TXP51" s="108">
        <f t="shared" si="956"/>
        <v>0</v>
      </c>
      <c r="TYI51" s="108" t="s">
        <v>64</v>
      </c>
      <c r="TYV51" s="108">
        <f t="shared" si="957"/>
        <v>0</v>
      </c>
      <c r="TZO51" s="108" t="s">
        <v>64</v>
      </c>
      <c r="UAB51" s="108">
        <f t="shared" si="958"/>
        <v>0</v>
      </c>
      <c r="UAU51" s="108" t="s">
        <v>64</v>
      </c>
      <c r="UBH51" s="108">
        <f t="shared" si="959"/>
        <v>0</v>
      </c>
      <c r="UCA51" s="108" t="s">
        <v>64</v>
      </c>
      <c r="UCN51" s="108">
        <f t="shared" si="960"/>
        <v>0</v>
      </c>
      <c r="UDG51" s="108" t="s">
        <v>64</v>
      </c>
      <c r="UDT51" s="108">
        <f t="shared" si="961"/>
        <v>0</v>
      </c>
      <c r="UEM51" s="108" t="s">
        <v>64</v>
      </c>
      <c r="UEZ51" s="108">
        <f t="shared" si="962"/>
        <v>0</v>
      </c>
      <c r="UFS51" s="108" t="s">
        <v>64</v>
      </c>
      <c r="UGF51" s="108">
        <f t="shared" si="963"/>
        <v>0</v>
      </c>
      <c r="UGY51" s="108" t="s">
        <v>64</v>
      </c>
      <c r="UHL51" s="108">
        <f t="shared" si="964"/>
        <v>0</v>
      </c>
      <c r="UIE51" s="108" t="s">
        <v>64</v>
      </c>
      <c r="UIR51" s="108">
        <f t="shared" si="965"/>
        <v>0</v>
      </c>
      <c r="UJK51" s="108" t="s">
        <v>64</v>
      </c>
      <c r="UJX51" s="108">
        <f t="shared" si="966"/>
        <v>0</v>
      </c>
      <c r="UKQ51" s="108" t="s">
        <v>64</v>
      </c>
      <c r="ULD51" s="108">
        <f t="shared" si="967"/>
        <v>0</v>
      </c>
      <c r="ULW51" s="108" t="s">
        <v>64</v>
      </c>
      <c r="UMJ51" s="108">
        <f t="shared" si="968"/>
        <v>0</v>
      </c>
      <c r="UNC51" s="108" t="s">
        <v>64</v>
      </c>
      <c r="UNP51" s="108">
        <f t="shared" si="969"/>
        <v>0</v>
      </c>
      <c r="UOI51" s="108" t="s">
        <v>64</v>
      </c>
      <c r="UOV51" s="108">
        <f t="shared" si="970"/>
        <v>0</v>
      </c>
      <c r="UPO51" s="108" t="s">
        <v>64</v>
      </c>
      <c r="UQB51" s="108">
        <f t="shared" si="971"/>
        <v>0</v>
      </c>
      <c r="UQU51" s="108" t="s">
        <v>64</v>
      </c>
      <c r="URH51" s="108">
        <f t="shared" si="972"/>
        <v>0</v>
      </c>
      <c r="USA51" s="108" t="s">
        <v>64</v>
      </c>
      <c r="USN51" s="108">
        <f t="shared" si="973"/>
        <v>0</v>
      </c>
      <c r="UTG51" s="108" t="s">
        <v>64</v>
      </c>
      <c r="UTT51" s="108">
        <f t="shared" si="974"/>
        <v>0</v>
      </c>
      <c r="UUM51" s="108" t="s">
        <v>64</v>
      </c>
      <c r="UUZ51" s="108">
        <f t="shared" si="975"/>
        <v>0</v>
      </c>
      <c r="UVS51" s="108" t="s">
        <v>64</v>
      </c>
      <c r="UWF51" s="108">
        <f t="shared" si="976"/>
        <v>0</v>
      </c>
      <c r="UWY51" s="108" t="s">
        <v>64</v>
      </c>
      <c r="UXL51" s="108">
        <f t="shared" si="977"/>
        <v>0</v>
      </c>
      <c r="UYE51" s="108" t="s">
        <v>64</v>
      </c>
      <c r="UYR51" s="108">
        <f t="shared" si="978"/>
        <v>0</v>
      </c>
      <c r="UZK51" s="108" t="s">
        <v>64</v>
      </c>
      <c r="UZX51" s="108">
        <f t="shared" si="979"/>
        <v>0</v>
      </c>
      <c r="VAQ51" s="108" t="s">
        <v>64</v>
      </c>
      <c r="VBD51" s="108">
        <f t="shared" si="980"/>
        <v>0</v>
      </c>
      <c r="VBW51" s="108" t="s">
        <v>64</v>
      </c>
      <c r="VCJ51" s="108">
        <f t="shared" si="981"/>
        <v>0</v>
      </c>
      <c r="VDC51" s="108" t="s">
        <v>64</v>
      </c>
      <c r="VDP51" s="108">
        <f t="shared" si="982"/>
        <v>0</v>
      </c>
      <c r="VEI51" s="108" t="s">
        <v>64</v>
      </c>
      <c r="VEV51" s="108">
        <f t="shared" si="983"/>
        <v>0</v>
      </c>
      <c r="VFO51" s="108" t="s">
        <v>64</v>
      </c>
      <c r="VGB51" s="108">
        <f t="shared" si="984"/>
        <v>0</v>
      </c>
      <c r="VGU51" s="108" t="s">
        <v>64</v>
      </c>
      <c r="VHH51" s="108">
        <f t="shared" si="985"/>
        <v>0</v>
      </c>
      <c r="VIA51" s="108" t="s">
        <v>64</v>
      </c>
      <c r="VIN51" s="108">
        <f t="shared" si="986"/>
        <v>0</v>
      </c>
      <c r="VJG51" s="108" t="s">
        <v>64</v>
      </c>
      <c r="VJT51" s="108">
        <f t="shared" si="987"/>
        <v>0</v>
      </c>
      <c r="VKM51" s="108" t="s">
        <v>64</v>
      </c>
      <c r="VKZ51" s="108">
        <f t="shared" si="988"/>
        <v>0</v>
      </c>
      <c r="VLS51" s="108" t="s">
        <v>64</v>
      </c>
      <c r="VMF51" s="108">
        <f t="shared" si="989"/>
        <v>0</v>
      </c>
      <c r="VMY51" s="108" t="s">
        <v>64</v>
      </c>
      <c r="VNL51" s="108">
        <f t="shared" si="990"/>
        <v>0</v>
      </c>
      <c r="VOE51" s="108" t="s">
        <v>64</v>
      </c>
      <c r="VOR51" s="108">
        <f t="shared" si="991"/>
        <v>0</v>
      </c>
      <c r="VPK51" s="108" t="s">
        <v>64</v>
      </c>
      <c r="VPX51" s="108">
        <f t="shared" si="992"/>
        <v>0</v>
      </c>
      <c r="VQQ51" s="108" t="s">
        <v>64</v>
      </c>
      <c r="VRD51" s="108">
        <f t="shared" si="993"/>
        <v>0</v>
      </c>
      <c r="VRW51" s="108" t="s">
        <v>64</v>
      </c>
      <c r="VSJ51" s="108">
        <f t="shared" si="994"/>
        <v>0</v>
      </c>
      <c r="VTC51" s="108" t="s">
        <v>64</v>
      </c>
      <c r="VTP51" s="108">
        <f t="shared" si="995"/>
        <v>0</v>
      </c>
      <c r="VUI51" s="108" t="s">
        <v>64</v>
      </c>
      <c r="VUV51" s="108">
        <f t="shared" si="996"/>
        <v>0</v>
      </c>
      <c r="VVO51" s="108" t="s">
        <v>64</v>
      </c>
      <c r="VWB51" s="108">
        <f t="shared" si="997"/>
        <v>0</v>
      </c>
      <c r="VWU51" s="108" t="s">
        <v>64</v>
      </c>
      <c r="VXH51" s="108">
        <f t="shared" si="998"/>
        <v>0</v>
      </c>
      <c r="VYA51" s="108" t="s">
        <v>64</v>
      </c>
      <c r="VYN51" s="108">
        <f t="shared" si="999"/>
        <v>0</v>
      </c>
      <c r="VZG51" s="108" t="s">
        <v>64</v>
      </c>
      <c r="VZT51" s="108">
        <f t="shared" si="1000"/>
        <v>0</v>
      </c>
      <c r="WAM51" s="108" t="s">
        <v>64</v>
      </c>
      <c r="WAZ51" s="108">
        <f t="shared" si="1001"/>
        <v>0</v>
      </c>
      <c r="WBS51" s="108" t="s">
        <v>64</v>
      </c>
      <c r="WCF51" s="108">
        <f t="shared" si="1002"/>
        <v>0</v>
      </c>
      <c r="WCY51" s="108" t="s">
        <v>64</v>
      </c>
      <c r="WDL51" s="108">
        <f t="shared" si="1003"/>
        <v>0</v>
      </c>
      <c r="WEE51" s="108" t="s">
        <v>64</v>
      </c>
      <c r="WER51" s="108">
        <f t="shared" si="1004"/>
        <v>0</v>
      </c>
      <c r="WFK51" s="108" t="s">
        <v>64</v>
      </c>
      <c r="WFX51" s="108">
        <f t="shared" si="1005"/>
        <v>0</v>
      </c>
      <c r="WGQ51" s="108" t="s">
        <v>64</v>
      </c>
      <c r="WHD51" s="108">
        <f t="shared" si="1006"/>
        <v>0</v>
      </c>
      <c r="WHW51" s="108" t="s">
        <v>64</v>
      </c>
      <c r="WIJ51" s="108">
        <f t="shared" si="1007"/>
        <v>0</v>
      </c>
      <c r="WJC51" s="108" t="s">
        <v>64</v>
      </c>
      <c r="WJP51" s="108">
        <f t="shared" si="1008"/>
        <v>0</v>
      </c>
      <c r="WKI51" s="108" t="s">
        <v>64</v>
      </c>
      <c r="WKV51" s="108">
        <f t="shared" si="1009"/>
        <v>0</v>
      </c>
      <c r="WLO51" s="108" t="s">
        <v>64</v>
      </c>
      <c r="WMB51" s="108">
        <f t="shared" si="1010"/>
        <v>0</v>
      </c>
      <c r="WMU51" s="108" t="s">
        <v>64</v>
      </c>
      <c r="WNH51" s="108">
        <f t="shared" si="1011"/>
        <v>0</v>
      </c>
      <c r="WOA51" s="108" t="s">
        <v>64</v>
      </c>
      <c r="WON51" s="108">
        <f t="shared" si="1012"/>
        <v>0</v>
      </c>
      <c r="WPG51" s="108" t="s">
        <v>64</v>
      </c>
      <c r="WPT51" s="108">
        <f t="shared" si="1013"/>
        <v>0</v>
      </c>
      <c r="WQM51" s="108" t="s">
        <v>64</v>
      </c>
      <c r="WQZ51" s="108">
        <f t="shared" si="1014"/>
        <v>0</v>
      </c>
      <c r="WRS51" s="108" t="s">
        <v>64</v>
      </c>
      <c r="WSF51" s="108">
        <f t="shared" si="1015"/>
        <v>0</v>
      </c>
      <c r="WSY51" s="108" t="s">
        <v>64</v>
      </c>
      <c r="WTL51" s="108">
        <f t="shared" si="1016"/>
        <v>0</v>
      </c>
      <c r="WUE51" s="108" t="s">
        <v>64</v>
      </c>
      <c r="WUR51" s="108">
        <f t="shared" si="1017"/>
        <v>0</v>
      </c>
      <c r="WVK51" s="108" t="s">
        <v>64</v>
      </c>
      <c r="WVX51" s="108">
        <f t="shared" si="1018"/>
        <v>0</v>
      </c>
      <c r="WWQ51" s="108" t="s">
        <v>64</v>
      </c>
      <c r="WXD51" s="108">
        <f t="shared" si="1019"/>
        <v>0</v>
      </c>
      <c r="WXW51" s="108" t="s">
        <v>64</v>
      </c>
      <c r="WYJ51" s="108">
        <f t="shared" si="1020"/>
        <v>0</v>
      </c>
      <c r="WZC51" s="108" t="s">
        <v>64</v>
      </c>
      <c r="WZP51" s="108">
        <f t="shared" si="1021"/>
        <v>0</v>
      </c>
      <c r="XAI51" s="108" t="s">
        <v>64</v>
      </c>
      <c r="XAV51" s="108">
        <f t="shared" si="1022"/>
        <v>0</v>
      </c>
      <c r="XBO51" s="108" t="s">
        <v>64</v>
      </c>
      <c r="XCB51" s="108">
        <f t="shared" si="1023"/>
        <v>0</v>
      </c>
      <c r="XCU51" s="108" t="s">
        <v>64</v>
      </c>
      <c r="XDH51" s="108">
        <f t="shared" si="1024"/>
        <v>0</v>
      </c>
      <c r="XEA51" s="108" t="s">
        <v>64</v>
      </c>
      <c r="XEN51" s="108">
        <f t="shared" si="1025"/>
        <v>0</v>
      </c>
    </row>
    <row r="55" spans="1:1008 1025:2032 2049:3056 3073:4080 4097:5104 5121:6128 6145:7152 7169:8176 8193:9200 9217:10224 10241:11248 11265:12272 12289:13296 13313:14320 14337:15344 15361:16368" s="250" customFormat="1" ht="21.75" customHeight="1" x14ac:dyDescent="0.25">
      <c r="A55" s="382" t="s">
        <v>92</v>
      </c>
      <c r="B55" s="382" t="s">
        <v>66</v>
      </c>
      <c r="C55" s="370" t="s">
        <v>67</v>
      </c>
      <c r="D55" s="371"/>
      <c r="E55" s="371"/>
      <c r="F55" s="371"/>
      <c r="G55" s="371"/>
      <c r="H55" s="371"/>
      <c r="I55" s="371"/>
      <c r="J55" s="371"/>
      <c r="K55" s="371"/>
      <c r="L55" s="371"/>
      <c r="M55" s="371"/>
      <c r="N55" s="371"/>
      <c r="O55" s="371"/>
      <c r="P55" s="372"/>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row>
    <row r="56" spans="1:1008 1025:2032 2049:3056 3073:4080 4097:5104 5121:6128 6145:7152 7169:8176 8193:9200 9217:10224 10241:11248 11265:12272 12289:13296 13313:14320 14337:15344 15361:16368" s="250" customFormat="1" ht="21.75" customHeight="1" x14ac:dyDescent="0.25">
      <c r="A56" s="383"/>
      <c r="B56" s="383"/>
      <c r="C56" s="190" t="s">
        <v>69</v>
      </c>
      <c r="D56" s="190" t="s">
        <v>70</v>
      </c>
      <c r="E56" s="190" t="s">
        <v>71</v>
      </c>
      <c r="F56" s="190" t="s">
        <v>72</v>
      </c>
      <c r="G56" s="190" t="s">
        <v>73</v>
      </c>
      <c r="H56" s="190" t="s">
        <v>74</v>
      </c>
      <c r="I56" s="190" t="s">
        <v>75</v>
      </c>
      <c r="J56" s="190" t="s">
        <v>76</v>
      </c>
      <c r="K56" s="190" t="s">
        <v>77</v>
      </c>
      <c r="L56" s="190" t="s">
        <v>78</v>
      </c>
      <c r="M56" s="190" t="s">
        <v>79</v>
      </c>
      <c r="N56" s="190" t="s">
        <v>80</v>
      </c>
      <c r="O56" s="190" t="s">
        <v>81</v>
      </c>
      <c r="P56" s="190" t="s">
        <v>82</v>
      </c>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row>
    <row r="57" spans="1:1008 1025:2032 2049:3056 3073:4080 4097:5104 5121:6128 6145:7152 7169:8176 8193:9200 9217:10224 10241:11248 11265:12272 12289:13296 13313:14320 14337:15344 15361:16368" s="250" customFormat="1" ht="12.75" customHeight="1" x14ac:dyDescent="0.25">
      <c r="A57" s="373" t="str">
        <f>A38</f>
        <v xml:space="preserve">1. Realizar actividades de asistencia técnica dirigidas a los Sectores de la Administración Distrital, orientadas a la implementación de los lineamientos para la estrategia de transversalización del enfoque diferencial y del procedimiento de asistencia técnica que lidera la Dirección de Enfoque Diferencial. </v>
      </c>
      <c r="B57" s="375">
        <f>B38</f>
        <v>0.05</v>
      </c>
      <c r="C57" s="191" t="s">
        <v>63</v>
      </c>
      <c r="D57" s="222">
        <f>D38*$B$38/$P$38</f>
        <v>2.5000000000000009E-3</v>
      </c>
      <c r="E57" s="222">
        <f t="shared" ref="E57:O58" si="1026">E38*$B$38/$P$38</f>
        <v>2.5000000000000009E-3</v>
      </c>
      <c r="F57" s="222">
        <f t="shared" si="1026"/>
        <v>4.5000000000000005E-3</v>
      </c>
      <c r="G57" s="222">
        <f t="shared" si="1026"/>
        <v>4.5000000000000005E-3</v>
      </c>
      <c r="H57" s="222">
        <f t="shared" si="1026"/>
        <v>4.5000000000000005E-3</v>
      </c>
      <c r="I57" s="222">
        <f t="shared" si="1026"/>
        <v>4.5000000000000005E-3</v>
      </c>
      <c r="J57" s="222">
        <f t="shared" si="1026"/>
        <v>4.5000000000000005E-3</v>
      </c>
      <c r="K57" s="222">
        <f t="shared" si="1026"/>
        <v>4.5000000000000005E-3</v>
      </c>
      <c r="L57" s="222">
        <f t="shared" si="1026"/>
        <v>4.5000000000000005E-3</v>
      </c>
      <c r="M57" s="222">
        <f t="shared" si="1026"/>
        <v>4.5000000000000005E-3</v>
      </c>
      <c r="N57" s="222">
        <f t="shared" si="1026"/>
        <v>4.5000000000000005E-3</v>
      </c>
      <c r="O57" s="222">
        <f t="shared" si="1026"/>
        <v>4.5000000000000005E-3</v>
      </c>
      <c r="P57" s="223">
        <f t="shared" ref="P57:P60" si="1027">SUM(D57:O57)</f>
        <v>5.0000000000000017E-2</v>
      </c>
      <c r="Q57" s="108">
        <v>0.05</v>
      </c>
      <c r="R57" s="224">
        <f>+P57-Q57</f>
        <v>0</v>
      </c>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05"/>
      <c r="AR57" s="205"/>
      <c r="AS57" s="205"/>
      <c r="AT57" s="205"/>
      <c r="AU57" s="205"/>
      <c r="AV57" s="205"/>
      <c r="AW57" s="205"/>
      <c r="AX57" s="205"/>
      <c r="AY57" s="205"/>
    </row>
    <row r="58" spans="1:1008 1025:2032 2049:3056 3073:4080 4097:5104 5121:6128 6145:7152 7169:8176 8193:9200 9217:10224 10241:11248 11265:12272 12289:13296 13313:14320 14337:15344 15361:16368" s="250" customFormat="1" ht="12.75" customHeight="1" x14ac:dyDescent="0.25">
      <c r="A58" s="374"/>
      <c r="B58" s="376"/>
      <c r="C58" s="196" t="s">
        <v>64</v>
      </c>
      <c r="D58" s="226">
        <f>D39*$B$38/$P$38</f>
        <v>2.5000000000000009E-3</v>
      </c>
      <c r="E58" s="226">
        <f t="shared" si="1026"/>
        <v>2.5000000000000009E-3</v>
      </c>
      <c r="F58" s="226">
        <f t="shared" si="1026"/>
        <v>4.5000000000000005E-3</v>
      </c>
      <c r="G58" s="226">
        <f t="shared" si="1026"/>
        <v>4.5000000000000005E-3</v>
      </c>
      <c r="H58" s="226">
        <f t="shared" si="1026"/>
        <v>4.5000000000000005E-3</v>
      </c>
      <c r="I58" s="226">
        <f t="shared" si="1026"/>
        <v>4.5000000000000005E-3</v>
      </c>
      <c r="J58" s="226">
        <f t="shared" si="1026"/>
        <v>4.5000000000000005E-3</v>
      </c>
      <c r="K58" s="226">
        <f t="shared" si="1026"/>
        <v>4.5000000000000005E-3</v>
      </c>
      <c r="L58" s="226">
        <f t="shared" si="1026"/>
        <v>4.5000000000000005E-3</v>
      </c>
      <c r="M58" s="226">
        <f t="shared" si="1026"/>
        <v>4.5000000000000005E-3</v>
      </c>
      <c r="N58" s="226">
        <f t="shared" si="1026"/>
        <v>4.5000000000000005E-3</v>
      </c>
      <c r="O58" s="226">
        <f t="shared" si="1026"/>
        <v>4.5000000000000005E-3</v>
      </c>
      <c r="P58" s="227">
        <f t="shared" si="1027"/>
        <v>5.0000000000000017E-2</v>
      </c>
      <c r="Q58" s="228">
        <f>+P58</f>
        <v>5.0000000000000017E-2</v>
      </c>
      <c r="R58" s="224">
        <f t="shared" ref="R58:R70" si="1028">+P58-Q58</f>
        <v>0</v>
      </c>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05"/>
      <c r="AR58" s="205"/>
      <c r="AS58" s="205"/>
      <c r="AT58" s="205"/>
      <c r="AU58" s="205"/>
      <c r="AV58" s="205"/>
      <c r="AW58" s="205"/>
      <c r="AX58" s="205"/>
      <c r="AY58" s="205"/>
    </row>
    <row r="59" spans="1:1008 1025:2032 2049:3056 3073:4080 4097:5104 5121:6128 6145:7152 7169:8176 8193:9200 9217:10224 10241:11248 11265:12272 12289:13296 13313:14320 14337:15344 15361:16368" s="250" customFormat="1" ht="12.75" customHeight="1" x14ac:dyDescent="0.25">
      <c r="A59" s="373" t="str">
        <f>A40</f>
        <v xml:space="preserve">2. Diseñar, implementar o divulgar herramientas que contribuyan a la eliminación de barreras de acceso a los servicios y a la realización de acciones afirmativas dirigidas a mujeres en sus diferencias y diversidad para la garantía de sus derechos en el Distrito Capital. </v>
      </c>
      <c r="B59" s="378">
        <f>B40</f>
        <v>2.5000000000000001E-2</v>
      </c>
      <c r="C59" s="191" t="s">
        <v>63</v>
      </c>
      <c r="D59" s="222">
        <f>D40*$B$40/$P$40</f>
        <v>0</v>
      </c>
      <c r="E59" s="222">
        <f t="shared" ref="E59:O60" si="1029">E40*$B$40/$P$40</f>
        <v>1.2500000000000005E-3</v>
      </c>
      <c r="F59" s="222">
        <f t="shared" si="1029"/>
        <v>1.2500000000000005E-3</v>
      </c>
      <c r="G59" s="222">
        <f t="shared" si="1029"/>
        <v>2.5000000000000009E-3</v>
      </c>
      <c r="H59" s="222">
        <f t="shared" si="1029"/>
        <v>2.5000000000000009E-3</v>
      </c>
      <c r="I59" s="222">
        <f t="shared" si="1029"/>
        <v>2.5000000000000009E-3</v>
      </c>
      <c r="J59" s="222">
        <f t="shared" si="1029"/>
        <v>2.5000000000000009E-3</v>
      </c>
      <c r="K59" s="222">
        <f t="shared" si="1029"/>
        <v>2.5000000000000009E-3</v>
      </c>
      <c r="L59" s="222">
        <f t="shared" si="1029"/>
        <v>2.5000000000000009E-3</v>
      </c>
      <c r="M59" s="222">
        <f t="shared" si="1029"/>
        <v>2.5000000000000009E-3</v>
      </c>
      <c r="N59" s="222">
        <f t="shared" si="1029"/>
        <v>2.5000000000000009E-3</v>
      </c>
      <c r="O59" s="222">
        <f t="shared" si="1029"/>
        <v>2.5000000000000009E-3</v>
      </c>
      <c r="P59" s="223">
        <f t="shared" si="1027"/>
        <v>2.5000000000000012E-2</v>
      </c>
      <c r="Q59" s="108">
        <v>2.5000000000000001E-2</v>
      </c>
      <c r="R59" s="224">
        <f t="shared" si="1028"/>
        <v>0</v>
      </c>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5"/>
      <c r="AP59" s="225"/>
      <c r="AQ59" s="205"/>
      <c r="AR59" s="205"/>
      <c r="AS59" s="205"/>
      <c r="AT59" s="205"/>
      <c r="AU59" s="205"/>
      <c r="AV59" s="205"/>
      <c r="AW59" s="205"/>
      <c r="AX59" s="205"/>
      <c r="AY59" s="205"/>
    </row>
    <row r="60" spans="1:1008 1025:2032 2049:3056 3073:4080 4097:5104 5121:6128 6145:7152 7169:8176 8193:9200 9217:10224 10241:11248 11265:12272 12289:13296 13313:14320 14337:15344 15361:16368" s="250" customFormat="1" ht="12.75" customHeight="1" x14ac:dyDescent="0.25">
      <c r="A60" s="377"/>
      <c r="B60" s="379"/>
      <c r="C60" s="196" t="s">
        <v>64</v>
      </c>
      <c r="D60" s="226">
        <f>D41*$B$40/$P$40</f>
        <v>0</v>
      </c>
      <c r="E60" s="226">
        <f t="shared" si="1029"/>
        <v>1.2500000000000005E-3</v>
      </c>
      <c r="F60" s="226">
        <f t="shared" si="1029"/>
        <v>1.2500000000000005E-3</v>
      </c>
      <c r="G60" s="226">
        <f t="shared" si="1029"/>
        <v>2.5000000000000009E-3</v>
      </c>
      <c r="H60" s="226">
        <f t="shared" si="1029"/>
        <v>2.5000000000000009E-3</v>
      </c>
      <c r="I60" s="226">
        <f t="shared" si="1029"/>
        <v>2.5000000000000009E-3</v>
      </c>
      <c r="J60" s="226">
        <f t="shared" si="1029"/>
        <v>2.5000000000000009E-3</v>
      </c>
      <c r="K60" s="226">
        <f t="shared" si="1029"/>
        <v>2.5000000000000009E-3</v>
      </c>
      <c r="L60" s="226">
        <f t="shared" si="1029"/>
        <v>2.5000000000000009E-3</v>
      </c>
      <c r="M60" s="226">
        <f t="shared" si="1029"/>
        <v>2.5000000000000009E-3</v>
      </c>
      <c r="N60" s="226">
        <f t="shared" si="1029"/>
        <v>2.5000000000000009E-3</v>
      </c>
      <c r="O60" s="226">
        <f t="shared" si="1029"/>
        <v>2.5000000000000009E-3</v>
      </c>
      <c r="P60" s="227">
        <f t="shared" si="1027"/>
        <v>2.5000000000000012E-2</v>
      </c>
      <c r="Q60" s="228">
        <f>+P60</f>
        <v>2.5000000000000012E-2</v>
      </c>
      <c r="R60" s="224">
        <f t="shared" si="1028"/>
        <v>0</v>
      </c>
      <c r="S60" s="225"/>
      <c r="T60" s="225"/>
      <c r="U60" s="225"/>
      <c r="V60" s="225"/>
      <c r="W60" s="225"/>
      <c r="X60" s="225"/>
      <c r="Y60" s="225"/>
      <c r="Z60" s="225"/>
      <c r="AA60" s="225"/>
      <c r="AB60" s="225"/>
      <c r="AC60" s="225"/>
      <c r="AD60" s="225"/>
      <c r="AE60" s="225"/>
      <c r="AF60" s="225"/>
      <c r="AG60" s="225"/>
      <c r="AH60" s="225"/>
      <c r="AI60" s="225"/>
      <c r="AJ60" s="225"/>
      <c r="AK60" s="225"/>
      <c r="AL60" s="225"/>
      <c r="AM60" s="225"/>
      <c r="AN60" s="225"/>
      <c r="AO60" s="225"/>
      <c r="AP60" s="225"/>
      <c r="AQ60" s="205"/>
      <c r="AR60" s="205"/>
      <c r="AS60" s="205"/>
      <c r="AT60" s="205"/>
      <c r="AU60" s="205"/>
      <c r="AV60" s="205"/>
      <c r="AW60" s="205"/>
      <c r="AX60" s="205"/>
      <c r="AY60" s="205"/>
    </row>
    <row r="61" spans="1:1008 1025:2032 2049:3056 3073:4080 4097:5104 5121:6128 6145:7152 7169:8176 8193:9200 9217:10224 10241:11248 11265:12272 12289:13296 13313:14320 14337:15344 15361:16368" s="250" customFormat="1" ht="12.75" customHeight="1" x14ac:dyDescent="0.25">
      <c r="A61" s="373" t="str">
        <f>A42</f>
        <v>3. Formular un plan de fortalecimiento interno para la incorporación de acciones afirmativas con enfoque diferencial, que permitan el acceso de las mujeres en toda su diversidad a los servicios que presta la Secretaría Distrital de la Mujer.</v>
      </c>
      <c r="B61" s="378">
        <f>B42</f>
        <v>2.5000000000000001E-2</v>
      </c>
      <c r="C61" s="191" t="s">
        <v>63</v>
      </c>
      <c r="D61" s="222">
        <f>D42*$B$42/$P$42</f>
        <v>1.2500000000000002E-3</v>
      </c>
      <c r="E61" s="222">
        <f t="shared" ref="E61:O62" si="1030">E42*$B$42/$P$42</f>
        <v>3.7499999999999999E-3</v>
      </c>
      <c r="F61" s="222">
        <f t="shared" si="1030"/>
        <v>5.000000000000001E-3</v>
      </c>
      <c r="G61" s="222">
        <f t="shared" si="1030"/>
        <v>3.7499999999999999E-3</v>
      </c>
      <c r="H61" s="222">
        <f t="shared" si="1030"/>
        <v>3.7499999999999999E-3</v>
      </c>
      <c r="I61" s="222">
        <f t="shared" si="1030"/>
        <v>3.7499999999999999E-3</v>
      </c>
      <c r="J61" s="222">
        <f t="shared" si="1030"/>
        <v>2.5000000000000005E-3</v>
      </c>
      <c r="K61" s="222">
        <f t="shared" si="1030"/>
        <v>1.2500000000000002E-3</v>
      </c>
      <c r="L61" s="222">
        <f t="shared" si="1030"/>
        <v>0</v>
      </c>
      <c r="M61" s="222">
        <f t="shared" si="1030"/>
        <v>0</v>
      </c>
      <c r="N61" s="222">
        <f t="shared" si="1030"/>
        <v>0</v>
      </c>
      <c r="O61" s="222">
        <f t="shared" si="1030"/>
        <v>0</v>
      </c>
      <c r="P61" s="223">
        <f t="shared" ref="P61:P64" si="1031">SUM(D61:O61)</f>
        <v>2.5000000000000001E-2</v>
      </c>
      <c r="Q61" s="108">
        <v>2.5000000000000001E-2</v>
      </c>
      <c r="R61" s="224">
        <f t="shared" si="1028"/>
        <v>0</v>
      </c>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05"/>
      <c r="AR61" s="205"/>
      <c r="AS61" s="205"/>
      <c r="AT61" s="205"/>
      <c r="AU61" s="205"/>
      <c r="AV61" s="205"/>
      <c r="AW61" s="205"/>
      <c r="AX61" s="205"/>
      <c r="AY61" s="205"/>
    </row>
    <row r="62" spans="1:1008 1025:2032 2049:3056 3073:4080 4097:5104 5121:6128 6145:7152 7169:8176 8193:9200 9217:10224 10241:11248 11265:12272 12289:13296 13313:14320 14337:15344 15361:16368" s="250" customFormat="1" ht="12.75" customHeight="1" x14ac:dyDescent="0.25">
      <c r="A62" s="377"/>
      <c r="B62" s="379"/>
      <c r="C62" s="196" t="s">
        <v>64</v>
      </c>
      <c r="D62" s="226">
        <f>D43*$B$42/$P$42</f>
        <v>1.2500000000000002E-3</v>
      </c>
      <c r="E62" s="226">
        <f t="shared" si="1030"/>
        <v>3.7499999999999999E-3</v>
      </c>
      <c r="F62" s="226">
        <f t="shared" si="1030"/>
        <v>5.000000000000001E-3</v>
      </c>
      <c r="G62" s="226">
        <f t="shared" si="1030"/>
        <v>3.7499999999999999E-3</v>
      </c>
      <c r="H62" s="226">
        <f t="shared" si="1030"/>
        <v>3.7499999999999999E-3</v>
      </c>
      <c r="I62" s="226">
        <f t="shared" si="1030"/>
        <v>3.7499999999999999E-3</v>
      </c>
      <c r="J62" s="226">
        <f t="shared" si="1030"/>
        <v>2.5000000000000005E-3</v>
      </c>
      <c r="K62" s="226">
        <f t="shared" si="1030"/>
        <v>1.2500000000000002E-3</v>
      </c>
      <c r="L62" s="226">
        <f t="shared" si="1030"/>
        <v>0</v>
      </c>
      <c r="M62" s="226">
        <f t="shared" si="1030"/>
        <v>0</v>
      </c>
      <c r="N62" s="226">
        <f t="shared" si="1030"/>
        <v>0</v>
      </c>
      <c r="O62" s="226">
        <f t="shared" si="1030"/>
        <v>0</v>
      </c>
      <c r="P62" s="227">
        <f t="shared" si="1031"/>
        <v>2.5000000000000001E-2</v>
      </c>
      <c r="Q62" s="228">
        <f>+P62</f>
        <v>2.5000000000000001E-2</v>
      </c>
      <c r="R62" s="224">
        <f t="shared" si="1028"/>
        <v>0</v>
      </c>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05"/>
      <c r="AR62" s="205"/>
      <c r="AS62" s="205"/>
      <c r="AT62" s="205"/>
      <c r="AU62" s="205"/>
      <c r="AV62" s="205"/>
      <c r="AW62" s="205"/>
      <c r="AX62" s="205"/>
      <c r="AY62" s="205"/>
    </row>
    <row r="63" spans="1:1008 1025:2032 2049:3056 3073:4080 4097:5104 5121:6128 6145:7152 7169:8176 8193:9200 9217:10224 10241:11248 11265:12272 12289:13296 13313:14320 14337:15344 15361:16368" s="250" customFormat="1" ht="12.75" customHeight="1" x14ac:dyDescent="0.25">
      <c r="A63" s="373" t="str">
        <f>A44</f>
        <v>4. Socializar los lineamientos de la estrategia de corresponsabilidad y elaborar su manual operativo, teniendo en cuenta los enfoques de derechos de las mujeres, de genero y diferencial.</v>
      </c>
      <c r="B63" s="378">
        <f>B44</f>
        <v>0.02</v>
      </c>
      <c r="C63" s="191" t="s">
        <v>63</v>
      </c>
      <c r="D63" s="222">
        <f>D44*$B$44/$P$44</f>
        <v>0</v>
      </c>
      <c r="E63" s="222">
        <f t="shared" ref="E63:O64" si="1032">E44*$B$44/$P$44</f>
        <v>2E-3</v>
      </c>
      <c r="F63" s="222">
        <f t="shared" si="1032"/>
        <v>3.0000000000000001E-3</v>
      </c>
      <c r="G63" s="222">
        <f t="shared" si="1032"/>
        <v>3.0000000000000001E-3</v>
      </c>
      <c r="H63" s="222">
        <f t="shared" si="1032"/>
        <v>3.0000000000000001E-3</v>
      </c>
      <c r="I63" s="222">
        <f t="shared" si="1032"/>
        <v>3.0000000000000001E-3</v>
      </c>
      <c r="J63" s="222">
        <f t="shared" si="1032"/>
        <v>3.0000000000000001E-3</v>
      </c>
      <c r="K63" s="222">
        <f t="shared" si="1032"/>
        <v>3.0000000000000001E-3</v>
      </c>
      <c r="L63" s="222">
        <f t="shared" si="1032"/>
        <v>0</v>
      </c>
      <c r="M63" s="222">
        <f t="shared" si="1032"/>
        <v>0</v>
      </c>
      <c r="N63" s="222">
        <f t="shared" si="1032"/>
        <v>0</v>
      </c>
      <c r="O63" s="222">
        <f t="shared" si="1032"/>
        <v>0</v>
      </c>
      <c r="P63" s="223">
        <f t="shared" si="1031"/>
        <v>1.9999999999999997E-2</v>
      </c>
      <c r="Q63" s="108">
        <v>0.02</v>
      </c>
      <c r="R63" s="224">
        <f t="shared" si="1028"/>
        <v>0</v>
      </c>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05"/>
      <c r="AR63" s="205"/>
      <c r="AS63" s="205"/>
      <c r="AT63" s="205"/>
      <c r="AU63" s="205"/>
      <c r="AV63" s="205"/>
      <c r="AW63" s="205"/>
      <c r="AX63" s="205"/>
      <c r="AY63" s="205"/>
    </row>
    <row r="64" spans="1:1008 1025:2032 2049:3056 3073:4080 4097:5104 5121:6128 6145:7152 7169:8176 8193:9200 9217:10224 10241:11248 11265:12272 12289:13296 13313:14320 14337:15344 15361:16368" s="250" customFormat="1" ht="12.75" customHeight="1" x14ac:dyDescent="0.25">
      <c r="A64" s="377"/>
      <c r="B64" s="379"/>
      <c r="C64" s="196" t="s">
        <v>64</v>
      </c>
      <c r="D64" s="226">
        <f>D45*$B$44/$P$44</f>
        <v>0</v>
      </c>
      <c r="E64" s="226">
        <f t="shared" si="1032"/>
        <v>2E-3</v>
      </c>
      <c r="F64" s="226">
        <f t="shared" si="1032"/>
        <v>3.0000000000000001E-3</v>
      </c>
      <c r="G64" s="226">
        <f t="shared" si="1032"/>
        <v>3.0000000000000001E-3</v>
      </c>
      <c r="H64" s="226">
        <f t="shared" si="1032"/>
        <v>3.0000000000000001E-3</v>
      </c>
      <c r="I64" s="226">
        <f t="shared" si="1032"/>
        <v>3.0000000000000001E-3</v>
      </c>
      <c r="J64" s="226">
        <f t="shared" si="1032"/>
        <v>3.0000000000000001E-3</v>
      </c>
      <c r="K64" s="226">
        <f t="shared" si="1032"/>
        <v>1.4000000000000002E-3</v>
      </c>
      <c r="L64" s="226">
        <f t="shared" si="1032"/>
        <v>1.6000000000000001E-3</v>
      </c>
      <c r="M64" s="226">
        <f t="shared" si="1032"/>
        <v>0</v>
      </c>
      <c r="N64" s="226">
        <f t="shared" si="1032"/>
        <v>0</v>
      </c>
      <c r="O64" s="226">
        <f t="shared" si="1032"/>
        <v>0</v>
      </c>
      <c r="P64" s="227">
        <f t="shared" si="1031"/>
        <v>0.02</v>
      </c>
      <c r="Q64" s="228">
        <f>+P64</f>
        <v>0.02</v>
      </c>
      <c r="R64" s="224">
        <f t="shared" si="1028"/>
        <v>0</v>
      </c>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05"/>
      <c r="AR64" s="205"/>
      <c r="AS64" s="205"/>
      <c r="AT64" s="205"/>
      <c r="AU64" s="205"/>
      <c r="AV64" s="205"/>
      <c r="AW64" s="205"/>
      <c r="AX64" s="205"/>
      <c r="AY64" s="205"/>
    </row>
    <row r="65" spans="1:51" s="250" customFormat="1" ht="12.75" customHeight="1" x14ac:dyDescent="0.25">
      <c r="A65" s="373" t="str">
        <f>A46</f>
        <v>5. Socializar e implementar la hoja de ruta para incorporar los enfoques de derechos, de género y diferencial para mujeres, a través del acompañamiento y articulación con las consejeras territoriales por el Sector Mujeres en el CTPD.</v>
      </c>
      <c r="B65" s="378">
        <f>B46</f>
        <v>0.02</v>
      </c>
      <c r="C65" s="191" t="s">
        <v>63</v>
      </c>
      <c r="D65" s="222">
        <f>D46*$B$46/$P$46</f>
        <v>0</v>
      </c>
      <c r="E65" s="222">
        <f t="shared" ref="E65:O66" si="1033">E46*$B$46/$P$46</f>
        <v>1.9999999999999996E-3</v>
      </c>
      <c r="F65" s="222">
        <f t="shared" si="1033"/>
        <v>2.9999999999999992E-3</v>
      </c>
      <c r="G65" s="222">
        <f t="shared" si="1033"/>
        <v>2.9999999999999992E-3</v>
      </c>
      <c r="H65" s="222">
        <f t="shared" si="1033"/>
        <v>2.9999999999999992E-3</v>
      </c>
      <c r="I65" s="222">
        <f t="shared" si="1033"/>
        <v>9.999999999999998E-4</v>
      </c>
      <c r="J65" s="222">
        <f t="shared" si="1033"/>
        <v>9.999999999999998E-4</v>
      </c>
      <c r="K65" s="222">
        <f t="shared" si="1033"/>
        <v>9.999999999999998E-4</v>
      </c>
      <c r="L65" s="222">
        <f t="shared" si="1033"/>
        <v>9.999999999999998E-4</v>
      </c>
      <c r="M65" s="222">
        <f t="shared" si="1033"/>
        <v>9.999999999999998E-4</v>
      </c>
      <c r="N65" s="222">
        <f t="shared" si="1033"/>
        <v>9.999999999999998E-4</v>
      </c>
      <c r="O65" s="222">
        <f t="shared" si="1033"/>
        <v>2.9999999999999992E-3</v>
      </c>
      <c r="P65" s="223">
        <f t="shared" ref="P65:P66" si="1034">SUM(D65:O65)</f>
        <v>1.9999999999999993E-2</v>
      </c>
      <c r="Q65" s="108">
        <v>0.02</v>
      </c>
      <c r="R65" s="224">
        <f t="shared" si="1028"/>
        <v>0</v>
      </c>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05"/>
      <c r="AR65" s="205"/>
      <c r="AS65" s="205"/>
      <c r="AT65" s="205"/>
      <c r="AU65" s="205"/>
      <c r="AV65" s="205"/>
      <c r="AW65" s="205"/>
      <c r="AX65" s="205"/>
      <c r="AY65" s="205"/>
    </row>
    <row r="66" spans="1:51" s="250" customFormat="1" ht="12.75" customHeight="1" x14ac:dyDescent="0.25">
      <c r="A66" s="377"/>
      <c r="B66" s="379"/>
      <c r="C66" s="196" t="s">
        <v>64</v>
      </c>
      <c r="D66" s="226">
        <f>D47*$B$46/$P$46</f>
        <v>0</v>
      </c>
      <c r="E66" s="226">
        <f t="shared" si="1033"/>
        <v>1.9999999999999996E-3</v>
      </c>
      <c r="F66" s="226">
        <f t="shared" si="1033"/>
        <v>2.9999999999999992E-3</v>
      </c>
      <c r="G66" s="226">
        <f t="shared" si="1033"/>
        <v>2.9999999999999992E-3</v>
      </c>
      <c r="H66" s="226">
        <f t="shared" si="1033"/>
        <v>2.9999999999999992E-3</v>
      </c>
      <c r="I66" s="226">
        <f t="shared" si="1033"/>
        <v>9.999999999999998E-4</v>
      </c>
      <c r="J66" s="226">
        <f t="shared" si="1033"/>
        <v>9.999999999999998E-4</v>
      </c>
      <c r="K66" s="226">
        <f t="shared" si="1033"/>
        <v>9.999999999999998E-4</v>
      </c>
      <c r="L66" s="226">
        <f t="shared" si="1033"/>
        <v>9.999999999999998E-4</v>
      </c>
      <c r="M66" s="226">
        <f t="shared" si="1033"/>
        <v>9.999999999999998E-4</v>
      </c>
      <c r="N66" s="226">
        <f t="shared" si="1033"/>
        <v>9.999999999999998E-4</v>
      </c>
      <c r="O66" s="226">
        <f t="shared" si="1033"/>
        <v>2.9999999999999992E-3</v>
      </c>
      <c r="P66" s="227">
        <f t="shared" si="1034"/>
        <v>1.9999999999999993E-2</v>
      </c>
      <c r="Q66" s="228">
        <f>+P66</f>
        <v>1.9999999999999993E-2</v>
      </c>
      <c r="R66" s="224">
        <f t="shared" si="1028"/>
        <v>0</v>
      </c>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05"/>
      <c r="AR66" s="205"/>
      <c r="AS66" s="205"/>
      <c r="AT66" s="205"/>
      <c r="AU66" s="205"/>
      <c r="AV66" s="205"/>
      <c r="AW66" s="205"/>
      <c r="AX66" s="205"/>
      <c r="AY66" s="205"/>
    </row>
    <row r="67" spans="1:51" s="250" customFormat="1" ht="12.75" customHeight="1" x14ac:dyDescent="0.25">
      <c r="A67" s="373" t="str">
        <f>A48</f>
        <v>6. Socializar e implementar la hoja de ruta para incorporar los enfoques de derechos, de género y diferencial para mujeres, a través del acompañamiento y articulación con la Subcomisión de Género del Decreto 563 de 2015.</v>
      </c>
      <c r="B67" s="378">
        <f>B48</f>
        <v>0.02</v>
      </c>
      <c r="C67" s="191" t="s">
        <v>63</v>
      </c>
      <c r="D67" s="222">
        <f>D48*$B$48/$P$48</f>
        <v>0</v>
      </c>
      <c r="E67" s="222">
        <f t="shared" ref="E67:O68" si="1035">E48*$B$48/$P$48</f>
        <v>1.9999999999999996E-3</v>
      </c>
      <c r="F67" s="222">
        <f t="shared" si="1035"/>
        <v>2.9999999999999992E-3</v>
      </c>
      <c r="G67" s="222">
        <f t="shared" si="1035"/>
        <v>2.9999999999999992E-3</v>
      </c>
      <c r="H67" s="222">
        <f t="shared" si="1035"/>
        <v>2.9999999999999992E-3</v>
      </c>
      <c r="I67" s="222">
        <f t="shared" si="1035"/>
        <v>9.999999999999998E-4</v>
      </c>
      <c r="J67" s="222">
        <f t="shared" si="1035"/>
        <v>9.999999999999998E-4</v>
      </c>
      <c r="K67" s="222">
        <f t="shared" si="1035"/>
        <v>9.999999999999998E-4</v>
      </c>
      <c r="L67" s="222">
        <f t="shared" si="1035"/>
        <v>9.999999999999998E-4</v>
      </c>
      <c r="M67" s="222">
        <f t="shared" si="1035"/>
        <v>9.999999999999998E-4</v>
      </c>
      <c r="N67" s="222">
        <f t="shared" si="1035"/>
        <v>9.999999999999998E-4</v>
      </c>
      <c r="O67" s="222">
        <f t="shared" si="1035"/>
        <v>2.9999999999999992E-3</v>
      </c>
      <c r="P67" s="223">
        <f t="shared" ref="P67:P70" si="1036">SUM(D67:O67)</f>
        <v>1.9999999999999993E-2</v>
      </c>
      <c r="Q67" s="108">
        <v>0.02</v>
      </c>
      <c r="R67" s="224">
        <f t="shared" si="1028"/>
        <v>0</v>
      </c>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05"/>
      <c r="AR67" s="205"/>
      <c r="AS67" s="205"/>
      <c r="AT67" s="205"/>
      <c r="AU67" s="205"/>
      <c r="AV67" s="205"/>
      <c r="AW67" s="205"/>
      <c r="AX67" s="205"/>
      <c r="AY67" s="205"/>
    </row>
    <row r="68" spans="1:51" s="250" customFormat="1" ht="12.75" customHeight="1" x14ac:dyDescent="0.25">
      <c r="A68" s="377"/>
      <c r="B68" s="379"/>
      <c r="C68" s="196" t="s">
        <v>64</v>
      </c>
      <c r="D68" s="226">
        <f>D49*$B$48/$P$48</f>
        <v>0</v>
      </c>
      <c r="E68" s="226">
        <f t="shared" si="1035"/>
        <v>1.9999999999999996E-3</v>
      </c>
      <c r="F68" s="226">
        <f t="shared" si="1035"/>
        <v>2.9999999999999992E-3</v>
      </c>
      <c r="G68" s="226">
        <f t="shared" si="1035"/>
        <v>2.9999999999999992E-3</v>
      </c>
      <c r="H68" s="226">
        <f t="shared" si="1035"/>
        <v>2.9999999999999992E-3</v>
      </c>
      <c r="I68" s="226">
        <f t="shared" si="1035"/>
        <v>9.999999999999998E-4</v>
      </c>
      <c r="J68" s="226">
        <f t="shared" si="1035"/>
        <v>9.999999999999998E-4</v>
      </c>
      <c r="K68" s="226">
        <f t="shared" si="1035"/>
        <v>9.999999999999998E-4</v>
      </c>
      <c r="L68" s="226">
        <f t="shared" si="1035"/>
        <v>9.999999999999998E-4</v>
      </c>
      <c r="M68" s="226">
        <f t="shared" si="1035"/>
        <v>9.999999999999998E-4</v>
      </c>
      <c r="N68" s="226">
        <f t="shared" si="1035"/>
        <v>9.999999999999998E-4</v>
      </c>
      <c r="O68" s="226">
        <f t="shared" si="1035"/>
        <v>2.9999999999999992E-3</v>
      </c>
      <c r="P68" s="227">
        <f t="shared" si="1036"/>
        <v>1.9999999999999993E-2</v>
      </c>
      <c r="Q68" s="228">
        <f>+P68</f>
        <v>1.9999999999999993E-2</v>
      </c>
      <c r="R68" s="224">
        <f t="shared" si="1028"/>
        <v>0</v>
      </c>
      <c r="S68" s="225"/>
      <c r="T68" s="225"/>
      <c r="U68" s="225"/>
      <c r="V68" s="225"/>
      <c r="W68" s="225"/>
      <c r="X68" s="225"/>
      <c r="Y68" s="225"/>
      <c r="Z68" s="225"/>
      <c r="AA68" s="225"/>
      <c r="AB68" s="225"/>
      <c r="AC68" s="225"/>
      <c r="AD68" s="225"/>
      <c r="AE68" s="225"/>
      <c r="AF68" s="225"/>
      <c r="AG68" s="225"/>
      <c r="AH68" s="225"/>
      <c r="AI68" s="225"/>
      <c r="AJ68" s="225"/>
      <c r="AK68" s="225"/>
      <c r="AL68" s="225"/>
      <c r="AM68" s="225"/>
      <c r="AN68" s="225"/>
      <c r="AO68" s="225"/>
      <c r="AP68" s="225"/>
      <c r="AQ68" s="205"/>
      <c r="AR68" s="205"/>
      <c r="AS68" s="205"/>
      <c r="AT68" s="205"/>
      <c r="AU68" s="205"/>
      <c r="AV68" s="205"/>
      <c r="AW68" s="205"/>
      <c r="AX68" s="205"/>
      <c r="AY68" s="205"/>
    </row>
    <row r="69" spans="1:51" s="250" customFormat="1" ht="12.75" customHeight="1" x14ac:dyDescent="0.25">
      <c r="A69" s="373" t="str">
        <f>A50</f>
        <v>7. Realizar un documento que dé cuenta de la incorporación de los enfoques de derechos de las mujeres, de género y diferencial para mujeres en las instancias que se acompañan desde la Subsecretaría del Cuidado y Políticas de Igualdad.</v>
      </c>
      <c r="B69" s="378">
        <f>B50</f>
        <v>0.02</v>
      </c>
      <c r="C69" s="191" t="s">
        <v>63</v>
      </c>
      <c r="D69" s="222">
        <f>D50*$B$50/$P$50</f>
        <v>0</v>
      </c>
      <c r="E69" s="222">
        <f t="shared" ref="E69:O70" si="1037">E50*$B$50/$P$50</f>
        <v>0</v>
      </c>
      <c r="F69" s="222">
        <f t="shared" si="1037"/>
        <v>0</v>
      </c>
      <c r="G69" s="222">
        <f t="shared" si="1037"/>
        <v>0</v>
      </c>
      <c r="H69" s="222">
        <f t="shared" si="1037"/>
        <v>0</v>
      </c>
      <c r="I69" s="222">
        <f t="shared" si="1037"/>
        <v>0</v>
      </c>
      <c r="J69" s="222">
        <f t="shared" si="1037"/>
        <v>0</v>
      </c>
      <c r="K69" s="222">
        <f t="shared" si="1037"/>
        <v>0</v>
      </c>
      <c r="L69" s="222">
        <f t="shared" si="1037"/>
        <v>0</v>
      </c>
      <c r="M69" s="222">
        <f t="shared" si="1037"/>
        <v>0</v>
      </c>
      <c r="N69" s="222">
        <f t="shared" si="1037"/>
        <v>6.0000000000000001E-3</v>
      </c>
      <c r="O69" s="222">
        <f t="shared" si="1037"/>
        <v>1.3999999999999999E-2</v>
      </c>
      <c r="P69" s="223">
        <f t="shared" si="1036"/>
        <v>1.9999999999999997E-2</v>
      </c>
      <c r="Q69" s="108">
        <v>0.02</v>
      </c>
      <c r="R69" s="224">
        <f t="shared" si="1028"/>
        <v>0</v>
      </c>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05"/>
      <c r="AR69" s="205"/>
      <c r="AS69" s="205"/>
      <c r="AT69" s="205"/>
      <c r="AU69" s="205"/>
      <c r="AV69" s="205"/>
      <c r="AW69" s="205"/>
      <c r="AX69" s="205"/>
      <c r="AY69" s="205"/>
    </row>
    <row r="70" spans="1:51" s="250" customFormat="1" ht="12.75" customHeight="1" x14ac:dyDescent="0.25">
      <c r="A70" s="377"/>
      <c r="B70" s="379"/>
      <c r="C70" s="196" t="s">
        <v>64</v>
      </c>
      <c r="D70" s="226">
        <f>D51*$B$50/$P$50</f>
        <v>0</v>
      </c>
      <c r="E70" s="226">
        <f t="shared" si="1037"/>
        <v>0</v>
      </c>
      <c r="F70" s="226">
        <f t="shared" si="1037"/>
        <v>0</v>
      </c>
      <c r="G70" s="226">
        <f t="shared" si="1037"/>
        <v>0</v>
      </c>
      <c r="H70" s="226">
        <f t="shared" si="1037"/>
        <v>0</v>
      </c>
      <c r="I70" s="226">
        <f t="shared" si="1037"/>
        <v>0</v>
      </c>
      <c r="J70" s="226">
        <f t="shared" si="1037"/>
        <v>0</v>
      </c>
      <c r="K70" s="226">
        <f t="shared" si="1037"/>
        <v>0</v>
      </c>
      <c r="L70" s="226">
        <f t="shared" si="1037"/>
        <v>0</v>
      </c>
      <c r="M70" s="226">
        <f t="shared" si="1037"/>
        <v>0</v>
      </c>
      <c r="N70" s="226">
        <f t="shared" si="1037"/>
        <v>6.0000000000000001E-3</v>
      </c>
      <c r="O70" s="226">
        <f t="shared" si="1037"/>
        <v>1.3999999999999999E-2</v>
      </c>
      <c r="P70" s="227">
        <f t="shared" si="1036"/>
        <v>1.9999999999999997E-2</v>
      </c>
      <c r="Q70" s="228">
        <f>+P70</f>
        <v>1.9999999999999997E-2</v>
      </c>
      <c r="R70" s="224">
        <f t="shared" si="1028"/>
        <v>0</v>
      </c>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05"/>
      <c r="AR70" s="205"/>
      <c r="AS70" s="205"/>
      <c r="AT70" s="205"/>
      <c r="AU70" s="205"/>
      <c r="AV70" s="205"/>
      <c r="AW70" s="205"/>
      <c r="AX70" s="205"/>
      <c r="AY70" s="205"/>
    </row>
    <row r="71" spans="1:51" s="250" customFormat="1" ht="15.75" customHeight="1" x14ac:dyDescent="0.25">
      <c r="A71" s="225"/>
      <c r="B71" s="225"/>
      <c r="C71" s="229"/>
      <c r="D71" s="230">
        <f>D58+D60+D62+D64+D66+D68+D70</f>
        <v>3.7500000000000012E-3</v>
      </c>
      <c r="E71" s="230">
        <f t="shared" ref="E71:N71" si="1038">E58+E60+E62+E64+E66+E68+E70</f>
        <v>1.3500000000000002E-2</v>
      </c>
      <c r="F71" s="230">
        <f t="shared" si="1038"/>
        <v>1.975E-2</v>
      </c>
      <c r="G71" s="230">
        <f t="shared" si="1038"/>
        <v>1.975E-2</v>
      </c>
      <c r="H71" s="230">
        <f t="shared" si="1038"/>
        <v>1.975E-2</v>
      </c>
      <c r="I71" s="230">
        <f t="shared" si="1038"/>
        <v>1.575E-2</v>
      </c>
      <c r="J71" s="230">
        <f t="shared" si="1038"/>
        <v>1.4499999999999999E-2</v>
      </c>
      <c r="K71" s="230">
        <f t="shared" si="1038"/>
        <v>1.1649999999999999E-2</v>
      </c>
      <c r="L71" s="230">
        <f t="shared" si="1038"/>
        <v>1.06E-2</v>
      </c>
      <c r="M71" s="230">
        <f t="shared" si="1038"/>
        <v>8.9999999999999993E-3</v>
      </c>
      <c r="N71" s="230">
        <f t="shared" si="1038"/>
        <v>1.4999999999999999E-2</v>
      </c>
      <c r="O71" s="230">
        <f>O58+O60+O62+O64+O66+O68+O70</f>
        <v>2.6999999999999996E-2</v>
      </c>
      <c r="P71" s="230">
        <f>P58+P60+P62+P64+P66+P68+P70</f>
        <v>0.18000000000000002</v>
      </c>
      <c r="Q71" s="225"/>
      <c r="R71" s="224">
        <f>+P71-Q71</f>
        <v>0.18000000000000002</v>
      </c>
      <c r="S71" s="225"/>
      <c r="T71" s="225"/>
      <c r="U71" s="225"/>
      <c r="V71" s="225"/>
      <c r="W71" s="225"/>
      <c r="X71" s="225"/>
      <c r="Y71" s="225"/>
      <c r="Z71" s="225"/>
      <c r="AA71" s="225"/>
      <c r="AB71" s="225"/>
      <c r="AC71" s="225"/>
      <c r="AD71" s="225"/>
      <c r="AE71" s="225"/>
      <c r="AF71" s="225"/>
      <c r="AG71" s="225"/>
      <c r="AH71" s="225"/>
      <c r="AI71" s="225"/>
      <c r="AJ71" s="225"/>
      <c r="AK71" s="225"/>
      <c r="AL71" s="225"/>
      <c r="AM71" s="225"/>
      <c r="AN71" s="225"/>
      <c r="AO71" s="225"/>
      <c r="AP71" s="225"/>
      <c r="AQ71" s="205"/>
      <c r="AR71" s="205"/>
      <c r="AS71" s="205"/>
      <c r="AT71" s="205"/>
      <c r="AU71" s="205"/>
      <c r="AV71" s="205"/>
      <c r="AW71" s="205"/>
      <c r="AX71" s="205"/>
      <c r="AY71" s="205"/>
    </row>
    <row r="72" spans="1:51" s="250" customFormat="1" ht="15.75" customHeight="1" x14ac:dyDescent="0.25">
      <c r="A72" s="205"/>
      <c r="B72" s="205"/>
      <c r="C72" s="209" t="s">
        <v>64</v>
      </c>
      <c r="D72" s="231">
        <f>D71*$W$17/$B$34</f>
        <v>1.1458333333333339E-2</v>
      </c>
      <c r="E72" s="231">
        <f t="shared" ref="E72:O72" si="1039">E71*$W$17/$B$34</f>
        <v>4.1250000000000009E-2</v>
      </c>
      <c r="F72" s="231">
        <f t="shared" si="1039"/>
        <v>6.0347222222222226E-2</v>
      </c>
      <c r="G72" s="231">
        <f t="shared" si="1039"/>
        <v>6.0347222222222226E-2</v>
      </c>
      <c r="H72" s="231">
        <f t="shared" si="1039"/>
        <v>6.0347222222222226E-2</v>
      </c>
      <c r="I72" s="231">
        <f t="shared" si="1039"/>
        <v>4.8125000000000001E-2</v>
      </c>
      <c r="J72" s="231">
        <f t="shared" si="1039"/>
        <v>4.4305555555555556E-2</v>
      </c>
      <c r="K72" s="231">
        <f t="shared" si="1039"/>
        <v>3.5597222222222225E-2</v>
      </c>
      <c r="L72" s="231">
        <f t="shared" si="1039"/>
        <v>3.2388888888888891E-2</v>
      </c>
      <c r="M72" s="231">
        <f t="shared" si="1039"/>
        <v>2.7500000000000004E-2</v>
      </c>
      <c r="N72" s="231">
        <f t="shared" si="1039"/>
        <v>4.5833333333333337E-2</v>
      </c>
      <c r="O72" s="231">
        <f t="shared" si="1039"/>
        <v>8.249999999999999E-2</v>
      </c>
      <c r="P72" s="232">
        <f>SUM(D72:O72)</f>
        <v>0.55000000000000004</v>
      </c>
      <c r="Q72" s="204"/>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c r="AP72" s="205"/>
      <c r="AQ72" s="205"/>
      <c r="AR72" s="205"/>
      <c r="AS72" s="205"/>
      <c r="AT72" s="205"/>
      <c r="AU72" s="205"/>
      <c r="AV72" s="205"/>
      <c r="AW72" s="205"/>
      <c r="AX72" s="205"/>
      <c r="AY72" s="205"/>
    </row>
    <row r="73" spans="1:51" s="250" customFormat="1" ht="13.5" customHeight="1" x14ac:dyDescent="0.25">
      <c r="A73" s="204"/>
      <c r="B73" s="204"/>
      <c r="C73" s="204"/>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5"/>
      <c r="AE73" s="205"/>
      <c r="AF73" s="205"/>
      <c r="AG73" s="205"/>
      <c r="AH73" s="205"/>
      <c r="AI73" s="205"/>
      <c r="AJ73" s="205"/>
      <c r="AK73" s="205"/>
      <c r="AL73" s="205"/>
      <c r="AM73" s="205"/>
      <c r="AN73" s="205"/>
      <c r="AO73" s="205"/>
      <c r="AP73" s="205"/>
      <c r="AQ73" s="205"/>
      <c r="AR73" s="205"/>
      <c r="AS73" s="205"/>
      <c r="AT73" s="205"/>
      <c r="AU73" s="205"/>
      <c r="AV73" s="205"/>
      <c r="AW73" s="205"/>
      <c r="AX73" s="205"/>
      <c r="AY73" s="205"/>
    </row>
    <row r="74" spans="1:51" x14ac:dyDescent="0.25">
      <c r="D74" s="230">
        <f>+D57+D59+D61+D63+D65+D67+D69</f>
        <v>3.7500000000000012E-3</v>
      </c>
      <c r="E74" s="230">
        <f t="shared" ref="E74:O74" si="1040">+E57+E59+E61+E63+E65+E67+E69</f>
        <v>1.3500000000000002E-2</v>
      </c>
      <c r="F74" s="230">
        <f t="shared" si="1040"/>
        <v>1.975E-2</v>
      </c>
      <c r="G74" s="230">
        <f t="shared" si="1040"/>
        <v>1.975E-2</v>
      </c>
      <c r="H74" s="230">
        <f t="shared" si="1040"/>
        <v>1.975E-2</v>
      </c>
      <c r="I74" s="230">
        <f t="shared" si="1040"/>
        <v>1.575E-2</v>
      </c>
      <c r="J74" s="230">
        <f t="shared" si="1040"/>
        <v>1.4499999999999999E-2</v>
      </c>
      <c r="K74" s="230">
        <f t="shared" si="1040"/>
        <v>1.3249999999999998E-2</v>
      </c>
      <c r="L74" s="230">
        <f t="shared" si="1040"/>
        <v>8.9999999999999993E-3</v>
      </c>
      <c r="M74" s="230">
        <f t="shared" si="1040"/>
        <v>8.9999999999999993E-3</v>
      </c>
      <c r="N74" s="230">
        <f t="shared" si="1040"/>
        <v>1.4999999999999999E-2</v>
      </c>
      <c r="O74" s="230">
        <f t="shared" si="1040"/>
        <v>2.6999999999999996E-2</v>
      </c>
      <c r="P74" s="230">
        <f>SUM(D74:O74)</f>
        <v>0.18000000000000002</v>
      </c>
    </row>
    <row r="75" spans="1:51" x14ac:dyDescent="0.25">
      <c r="C75" s="209" t="s">
        <v>63</v>
      </c>
      <c r="D75" s="231">
        <f>D74*$W$17/$B$34</f>
        <v>1.1458333333333339E-2</v>
      </c>
      <c r="E75" s="231">
        <f t="shared" ref="E75:O75" si="1041">E74*$W$17/$B$34</f>
        <v>4.1250000000000009E-2</v>
      </c>
      <c r="F75" s="231">
        <f t="shared" si="1041"/>
        <v>6.0347222222222226E-2</v>
      </c>
      <c r="G75" s="231">
        <f t="shared" si="1041"/>
        <v>6.0347222222222226E-2</v>
      </c>
      <c r="H75" s="231">
        <f t="shared" si="1041"/>
        <v>6.0347222222222226E-2</v>
      </c>
      <c r="I75" s="231">
        <f t="shared" si="1041"/>
        <v>4.8125000000000001E-2</v>
      </c>
      <c r="J75" s="231">
        <f t="shared" si="1041"/>
        <v>4.4305555555555556E-2</v>
      </c>
      <c r="K75" s="231">
        <f t="shared" si="1041"/>
        <v>4.0486111111111112E-2</v>
      </c>
      <c r="L75" s="231">
        <f t="shared" si="1041"/>
        <v>2.7500000000000004E-2</v>
      </c>
      <c r="M75" s="231">
        <f t="shared" si="1041"/>
        <v>2.7500000000000004E-2</v>
      </c>
      <c r="N75" s="231">
        <f t="shared" si="1041"/>
        <v>4.5833333333333337E-2</v>
      </c>
      <c r="O75" s="231">
        <f t="shared" si="1041"/>
        <v>8.249999999999999E-2</v>
      </c>
      <c r="P75" s="232">
        <f>SUM(D75:O75)</f>
        <v>0.55000000000000004</v>
      </c>
    </row>
  </sheetData>
  <mergeCells count="102">
    <mergeCell ref="A1:A4"/>
    <mergeCell ref="B1:AA1"/>
    <mergeCell ref="AB1:AD1"/>
    <mergeCell ref="B2:AA2"/>
    <mergeCell ref="AB2:AD2"/>
    <mergeCell ref="B3:AA4"/>
    <mergeCell ref="AB3:AD3"/>
    <mergeCell ref="AB4:AD4"/>
    <mergeCell ref="C11:H13"/>
    <mergeCell ref="A7:B9"/>
    <mergeCell ref="C7:C9"/>
    <mergeCell ref="A11:B13"/>
    <mergeCell ref="D7:H9"/>
    <mergeCell ref="I7:J9"/>
    <mergeCell ref="K7:L9"/>
    <mergeCell ref="O7:P7"/>
    <mergeCell ref="M8:N8"/>
    <mergeCell ref="O8:P8"/>
    <mergeCell ref="M9:N9"/>
    <mergeCell ref="O9:P9"/>
    <mergeCell ref="M7:N7"/>
    <mergeCell ref="A28:A29"/>
    <mergeCell ref="B28:C29"/>
    <mergeCell ref="D28:O28"/>
    <mergeCell ref="P28:P29"/>
    <mergeCell ref="Q28:AD29"/>
    <mergeCell ref="A27:AD27"/>
    <mergeCell ref="AA15:AD15"/>
    <mergeCell ref="C16:AB16"/>
    <mergeCell ref="A17:B17"/>
    <mergeCell ref="C17:Q17"/>
    <mergeCell ref="AC17:AD17"/>
    <mergeCell ref="C15:K15"/>
    <mergeCell ref="R15:X15"/>
    <mergeCell ref="Y15:Z15"/>
    <mergeCell ref="W17:X17"/>
    <mergeCell ref="A15:B15"/>
    <mergeCell ref="A19:AD19"/>
    <mergeCell ref="Y17:AB17"/>
    <mergeCell ref="Q20:AD20"/>
    <mergeCell ref="C20:P20"/>
    <mergeCell ref="R17:V17"/>
    <mergeCell ref="L15:Q15"/>
    <mergeCell ref="B30:C30"/>
    <mergeCell ref="Q30:AD30"/>
    <mergeCell ref="A31:AD31"/>
    <mergeCell ref="A32:A33"/>
    <mergeCell ref="B32:B33"/>
    <mergeCell ref="C32:C33"/>
    <mergeCell ref="D32:P32"/>
    <mergeCell ref="Q32:AD32"/>
    <mergeCell ref="Q33:V33"/>
    <mergeCell ref="W33:Z33"/>
    <mergeCell ref="AA33:AD33"/>
    <mergeCell ref="A36:A37"/>
    <mergeCell ref="B36:B37"/>
    <mergeCell ref="C36:P36"/>
    <mergeCell ref="Q36:AD36"/>
    <mergeCell ref="Q37:AD37"/>
    <mergeCell ref="A34:A35"/>
    <mergeCell ref="B34:B35"/>
    <mergeCell ref="Q34:V35"/>
    <mergeCell ref="W34:Z35"/>
    <mergeCell ref="AA34:AD35"/>
    <mergeCell ref="Q48:AD49"/>
    <mergeCell ref="A46:A47"/>
    <mergeCell ref="B46:B47"/>
    <mergeCell ref="Q46:AD47"/>
    <mergeCell ref="A50:A51"/>
    <mergeCell ref="B50:B51"/>
    <mergeCell ref="Q50:AD51"/>
    <mergeCell ref="A38:A39"/>
    <mergeCell ref="B38:B39"/>
    <mergeCell ref="Q38:AD39"/>
    <mergeCell ref="A44:A45"/>
    <mergeCell ref="B44:B45"/>
    <mergeCell ref="Q44:AD45"/>
    <mergeCell ref="A40:A41"/>
    <mergeCell ref="B40:B41"/>
    <mergeCell ref="Q40:AD41"/>
    <mergeCell ref="A42:A43"/>
    <mergeCell ref="B42:B43"/>
    <mergeCell ref="Q42:AD43"/>
    <mergeCell ref="A65:A66"/>
    <mergeCell ref="B65:B66"/>
    <mergeCell ref="A67:A68"/>
    <mergeCell ref="B67:B68"/>
    <mergeCell ref="A69:A70"/>
    <mergeCell ref="B69:B70"/>
    <mergeCell ref="A48:A49"/>
    <mergeCell ref="B48:B49"/>
    <mergeCell ref="A55:A56"/>
    <mergeCell ref="B55:B56"/>
    <mergeCell ref="C55:P55"/>
    <mergeCell ref="A57:A58"/>
    <mergeCell ref="B57:B58"/>
    <mergeCell ref="A59:A60"/>
    <mergeCell ref="B59:B60"/>
    <mergeCell ref="A61:A62"/>
    <mergeCell ref="B61:B62"/>
    <mergeCell ref="A63:A64"/>
    <mergeCell ref="B63:B64"/>
  </mergeCells>
  <phoneticPr fontId="50" type="noConversion"/>
  <dataValidations disablePrompts="1" count="4">
    <dataValidation type="textLength" operator="lessThanOrEqual" allowBlank="1" showInputMessage="1" showErrorMessage="1" errorTitle="Máximo 2.000 caracteres" error="Máximo 2.000 caracteres" sqref="XDI48:XDV51 XEO48:XFB51 W34 AW48:BJ51 CC48:CP51 DI48:DV51 EO48:FB51 FU48:GH51 HA48:HN51 IG48:IT51 JM48:JZ51 KS48:LF51 LY48:ML51 NE48:NR51 OK48:OX51 PQ48:QD51 QW48:RJ51 SC48:SP51 TI48:TV51 UO48:VB51 VU48:WH51 XA48:XN51 YG48:YT51 ZM48:ZZ51 AAS48:ABF51 ABY48:ACL51 ADE48:ADR51 AEK48:AEX51 AFQ48:AGD51 AGW48:AHJ51 AIC48:AIP51 AJI48:AJV51 AKO48:ALB51 ALU48:AMH51 ANA48:ANN51 AOG48:AOT51 APM48:APZ51 AQS48:ARF51 ARY48:ASL51 ATE48:ATR51 AUK48:AUX51 AVQ48:AWD51 AWW48:AXJ51 AYC48:AYP51 AZI48:AZV51 BAO48:BBB51 BBU48:BCH51 BDA48:BDN51 BEG48:BET51 BFM48:BFZ51 BGS48:BHF51 BHY48:BIL51 BJE48:BJR51 BKK48:BKX51 BLQ48:BMD51 BMW48:BNJ51 BOC48:BOP51 BPI48:BPV51 BQO48:BRB51 BRU48:BSH51 BTA48:BTN51 BUG48:BUT51 BVM48:BVZ51 BWS48:BXF51 BXY48:BYL51 BZE48:BZR51 CAK48:CAX51 CBQ48:CCD51 CCW48:CDJ51 CEC48:CEP51 CFI48:CFV51 CGO48:CHB51 CHU48:CIH51 CJA48:CJN51 CKG48:CKT51 CLM48:CLZ51 CMS48:CNF51 CNY48:COL51 CPE48:CPR51 CQK48:CQX51 CRQ48:CSD51 CSW48:CTJ51 CUC48:CUP51 CVI48:CVV51 CWO48:CXB51 CXU48:CYH51 CZA48:CZN51 DAG48:DAT51 DBM48:DBZ51 DCS48:DDF51 DDY48:DEL51 DFE48:DFR51 DGK48:DGX51 DHQ48:DID51 DIW48:DJJ51 DKC48:DKP51 DLI48:DLV51 DMO48:DNB51 DNU48:DOH51 DPA48:DPN51 DQG48:DQT51 DRM48:DRZ51 DSS48:DTF51 DTY48:DUL51 DVE48:DVR51 DWK48:DWX51 DXQ48:DYD51 DYW48:DZJ51 EAC48:EAP51 EBI48:EBV51 ECO48:EDB51 EDU48:EEH51 EFA48:EFN51 EGG48:EGT51 EHM48:EHZ51 EIS48:EJF51 EJY48:EKL51 ELE48:ELR51 EMK48:EMX51 ENQ48:EOD51 EOW48:EPJ51 EQC48:EQP51 ERI48:ERV51 ESO48:ETB51 ETU48:EUH51 EVA48:EVN51 EWG48:EWT51 EXM48:EXZ51 EYS48:EZF51 EZY48:FAL51 FBE48:FBR51 FCK48:FCX51 FDQ48:FED51 FEW48:FFJ51 FGC48:FGP51 FHI48:FHV51 FIO48:FJB51 FJU48:FKH51 FLA48:FLN51 FMG48:FMT51 FNM48:FNZ51 FOS48:FPF51 FPY48:FQL51 FRE48:FRR51 FSK48:FSX51 FTQ48:FUD51 FUW48:FVJ51 FWC48:FWP51 FXI48:FXV51 FYO48:FZB51 FZU48:GAH51 GBA48:GBN51 GCG48:GCT51 GDM48:GDZ51 GES48:GFF51 GFY48:GGL51 GHE48:GHR51 GIK48:GIX51 GJQ48:GKD51 GKW48:GLJ51 GMC48:GMP51 GNI48:GNV51 GOO48:GPB51 GPU48:GQH51 GRA48:GRN51 GSG48:GST51 GTM48:GTZ51 GUS48:GVF51 GVY48:GWL51 GXE48:GXR51 GYK48:GYX51 GZQ48:HAD51 HAW48:HBJ51 HCC48:HCP51 HDI48:HDV51 HEO48:HFB51 HFU48:HGH51 HHA48:HHN51 HIG48:HIT51 HJM48:HJZ51 HKS48:HLF51 HLY48:HML51 HNE48:HNR51 HOK48:HOX51 HPQ48:HQD51 HQW48:HRJ51 HSC48:HSP51 HTI48:HTV51 HUO48:HVB51 HVU48:HWH51 HXA48:HXN51 HYG48:HYT51 HZM48:HZZ51 IAS48:IBF51 IBY48:ICL51 IDE48:IDR51 IEK48:IEX51 IFQ48:IGD51 IGW48:IHJ51 IIC48:IIP51 IJI48:IJV51 IKO48:ILB51 ILU48:IMH51 INA48:INN51 IOG48:IOT51 IPM48:IPZ51 IQS48:IRF51 IRY48:ISL51 ITE48:ITR51 IUK48:IUX51 IVQ48:IWD51 IWW48:IXJ51 IYC48:IYP51 IZI48:IZV51 JAO48:JBB51 JBU48:JCH51 JDA48:JDN51 JEG48:JET51 JFM48:JFZ51 JGS48:JHF51 JHY48:JIL51 JJE48:JJR51 JKK48:JKX51 JLQ48:JMD51 JMW48:JNJ51 JOC48:JOP51 JPI48:JPV51 JQO48:JRB51 JRU48:JSH51 JTA48:JTN51 JUG48:JUT51 JVM48:JVZ51 JWS48:JXF51 JXY48:JYL51 JZE48:JZR51 KAK48:KAX51 KBQ48:KCD51 KCW48:KDJ51 KEC48:KEP51 KFI48:KFV51 KGO48:KHB51 KHU48:KIH51 KJA48:KJN51 KKG48:KKT51 KLM48:KLZ51 KMS48:KNF51 KNY48:KOL51 KPE48:KPR51 KQK48:KQX51 KRQ48:KSD51 KSW48:KTJ51 KUC48:KUP51 KVI48:KVV51 KWO48:KXB51 KXU48:KYH51 KZA48:KZN51 LAG48:LAT51 LBM48:LBZ51 LCS48:LDF51 LDY48:LEL51 LFE48:LFR51 LGK48:LGX51 LHQ48:LID51 LIW48:LJJ51 LKC48:LKP51 LLI48:LLV51 LMO48:LNB51 LNU48:LOH51 LPA48:LPN51 LQG48:LQT51 LRM48:LRZ51 LSS48:LTF51 LTY48:LUL51 LVE48:LVR51 LWK48:LWX51 LXQ48:LYD51 LYW48:LZJ51 MAC48:MAP51 MBI48:MBV51 MCO48:MDB51 MDU48:MEH51 MFA48:MFN51 MGG48:MGT51 MHM48:MHZ51 MIS48:MJF51 MJY48:MKL51 MLE48:MLR51 MMK48:MMX51 MNQ48:MOD51 MOW48:MPJ51 MQC48:MQP51 MRI48:MRV51 MSO48:MTB51 MTU48:MUH51 MVA48:MVN51 MWG48:MWT51 MXM48:MXZ51 MYS48:MZF51 MZY48:NAL51 NBE48:NBR51 NCK48:NCX51 NDQ48:NED51 NEW48:NFJ51 NGC48:NGP51 NHI48:NHV51 NIO48:NJB51 NJU48:NKH51 NLA48:NLN51 NMG48:NMT51 NNM48:NNZ51 NOS48:NPF51 NPY48:NQL51 NRE48:NRR51 NSK48:NSX51 NTQ48:NUD51 NUW48:NVJ51 NWC48:NWP51 NXI48:NXV51 NYO48:NZB51 NZU48:OAH51 OBA48:OBN51 OCG48:OCT51 ODM48:ODZ51 OES48:OFF51 OFY48:OGL51 OHE48:OHR51 OIK48:OIX51 OJQ48:OKD51 OKW48:OLJ51 OMC48:OMP51 ONI48:ONV51 OOO48:OPB51 OPU48:OQH51 ORA48:ORN51 OSG48:OST51 OTM48:OTZ51 OUS48:OVF51 OVY48:OWL51 OXE48:OXR51 OYK48:OYX51 OZQ48:PAD51 PAW48:PBJ51 PCC48:PCP51 PDI48:PDV51 PEO48:PFB51 PFU48:PGH51 PHA48:PHN51 PIG48:PIT51 PJM48:PJZ51 PKS48:PLF51 PLY48:PML51 PNE48:PNR51 POK48:POX51 PPQ48:PQD51 PQW48:PRJ51 PSC48:PSP51 PTI48:PTV51 PUO48:PVB51 PVU48:PWH51 PXA48:PXN51 PYG48:PYT51 PZM48:PZZ51 QAS48:QBF51 QBY48:QCL51 QDE48:QDR51 QEK48:QEX51 QFQ48:QGD51 QGW48:QHJ51 QIC48:QIP51 QJI48:QJV51 QKO48:QLB51 QLU48:QMH51 QNA48:QNN51 QOG48:QOT51 QPM48:QPZ51 QQS48:QRF51 QRY48:QSL51 QTE48:QTR51 QUK48:QUX51 QVQ48:QWD51 QWW48:QXJ51 QYC48:QYP51 QZI48:QZV51 RAO48:RBB51 RBU48:RCH51 RDA48:RDN51 REG48:RET51 RFM48:RFZ51 RGS48:RHF51 RHY48:RIL51 RJE48:RJR51 RKK48:RKX51 RLQ48:RMD51 RMW48:RNJ51 ROC48:ROP51 RPI48:RPV51 RQO48:RRB51 RRU48:RSH51 RTA48:RTN51 RUG48:RUT51 RVM48:RVZ51 RWS48:RXF51 RXY48:RYL51 RZE48:RZR51 SAK48:SAX51 SBQ48:SCD51 SCW48:SDJ51 SEC48:SEP51 SFI48:SFV51 SGO48:SHB51 SHU48:SIH51 SJA48:SJN51 SKG48:SKT51 SLM48:SLZ51 SMS48:SNF51 SNY48:SOL51 SPE48:SPR51 SQK48:SQX51 SRQ48:SSD51 SSW48:STJ51 SUC48:SUP51 SVI48:SVV51 SWO48:SXB51 SXU48:SYH51 SZA48:SZN51 TAG48:TAT51 TBM48:TBZ51 TCS48:TDF51 TDY48:TEL51 TFE48:TFR51 TGK48:TGX51 THQ48:TID51 TIW48:TJJ51 TKC48:TKP51 TLI48:TLV51 TMO48:TNB51 TNU48:TOH51 TPA48:TPN51 TQG48:TQT51 TRM48:TRZ51 TSS48:TTF51 TTY48:TUL51 TVE48:TVR51 TWK48:TWX51 TXQ48:TYD51 TYW48:TZJ51 UAC48:UAP51 UBI48:UBV51 UCO48:UDB51 UDU48:UEH51 UFA48:UFN51 UGG48:UGT51 UHM48:UHZ51 UIS48:UJF51 UJY48:UKL51 ULE48:ULR51 UMK48:UMX51 UNQ48:UOD51 UOW48:UPJ51 UQC48:UQP51 URI48:URV51 USO48:UTB51 UTU48:UUH51 UVA48:UVN51 UWG48:UWT51 UXM48:UXZ51 UYS48:UZF51 UZY48:VAL51 VBE48:VBR51 VCK48:VCX51 VDQ48:VED51 VEW48:VFJ51 VGC48:VGP51 VHI48:VHV51 VIO48:VJB51 VJU48:VKH51 VLA48:VLN51 VMG48:VMT51 VNM48:VNZ51 VOS48:VPF51 VPY48:VQL51 VRE48:VRR51 VSK48:VSX51 VTQ48:VUD51 VUW48:VVJ51 VWC48:VWP51 VXI48:VXV51 VYO48:VZB51 VZU48:WAH51 WBA48:WBN51 WCG48:WCT51 WDM48:WDZ51 WES48:WFF51 WFY48:WGL51 WHE48:WHR51 WIK48:WIX51 WJQ48:WKD51 WKW48:WLJ51 WMC48:WMP51 WNI48:WNV51 WOO48:WPB51 WPU48:WQH51 WRA48:WRN51 WSG48:WST51 WTM48:WTZ51 WUS48:WVF51 WVY48:WWL51 WXE48:WXR51 WYK48:WYX51 WZQ48:XAD51 XAW48:XBJ51 XCC48:XCP51 AA34 Q38:AD43"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 type="textLength" operator="lessThanOrEqual" allowBlank="1" showInputMessage="1" showErrorMessage="1" errorTitle="Máximo 2.000 caracteres" error="Máximo 2.000 caracteres" sqref="Q34:V35 Q44 Q46 Q48 Q50" xr:uid="{00000000-0002-0000-0000-000003000000}">
      <formula1>20000</formula1>
    </dataValidation>
  </dataValidations>
  <printOptions horizontalCentered="1"/>
  <pageMargins left="0.73685039370078742" right="0.19685039370078741" top="0.19685039370078741" bottom="0.19685039370078741" header="0" footer="0"/>
  <pageSetup paperSize="9" scale="24" fitToHeight="0" orientation="landscape" r:id="rId1"/>
  <rowBreaks count="1" manualBreakCount="1">
    <brk id="45" max="29" man="1"/>
  </rowBreak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BS89"/>
  <sheetViews>
    <sheetView topLeftCell="AN69" zoomScale="70" zoomScaleNormal="70" workbookViewId="0">
      <selection activeCell="BJ81" sqref="BJ81"/>
    </sheetView>
  </sheetViews>
  <sheetFormatPr baseColWidth="10" defaultColWidth="19.42578125" defaultRowHeight="15" x14ac:dyDescent="0.25"/>
  <cols>
    <col min="1" max="1" width="24" style="108" bestFit="1" customWidth="1"/>
    <col min="2" max="25" width="11" style="108" customWidth="1"/>
    <col min="26" max="27" width="12.140625" style="108" customWidth="1"/>
    <col min="28" max="28" width="35.42578125" style="108" customWidth="1"/>
    <col min="29" max="34" width="7.85546875" style="108" customWidth="1"/>
    <col min="35" max="35" width="2.42578125" style="108" customWidth="1"/>
    <col min="36" max="36" width="19.42578125" style="108" customWidth="1"/>
    <col min="37" max="46" width="11.42578125" style="108" customWidth="1"/>
    <col min="47" max="47" width="13.42578125" style="108" customWidth="1"/>
    <col min="48" max="62" width="11.42578125" style="108" customWidth="1"/>
    <col min="63" max="63" width="35.42578125" style="108" customWidth="1"/>
    <col min="64" max="69" width="7.85546875" style="108" customWidth="1"/>
    <col min="70" max="16384" width="19.42578125" style="108"/>
  </cols>
  <sheetData>
    <row r="1" spans="1:71" ht="15.95" customHeight="1" x14ac:dyDescent="0.25">
      <c r="A1" s="907" t="s">
        <v>0</v>
      </c>
      <c r="B1" s="908"/>
      <c r="C1" s="908"/>
      <c r="D1" s="908"/>
      <c r="E1" s="908"/>
      <c r="F1" s="908"/>
      <c r="G1" s="908"/>
      <c r="H1" s="908"/>
      <c r="I1" s="908"/>
      <c r="J1" s="908"/>
      <c r="K1" s="908"/>
      <c r="L1" s="908"/>
      <c r="M1" s="908"/>
      <c r="N1" s="908"/>
      <c r="O1" s="908"/>
      <c r="P1" s="908"/>
      <c r="Q1" s="908"/>
      <c r="R1" s="908"/>
      <c r="S1" s="908"/>
      <c r="T1" s="908"/>
      <c r="U1" s="908"/>
      <c r="V1" s="908"/>
      <c r="W1" s="908"/>
      <c r="X1" s="908"/>
      <c r="Y1" s="908"/>
      <c r="Z1" s="908"/>
      <c r="AA1" s="908"/>
      <c r="AB1" s="908"/>
      <c r="AC1" s="908"/>
      <c r="AD1" s="908"/>
      <c r="AE1" s="908"/>
      <c r="AF1" s="908"/>
      <c r="AG1" s="908"/>
      <c r="AH1" s="908"/>
      <c r="AI1" s="908"/>
      <c r="AJ1" s="908"/>
      <c r="AK1" s="908"/>
      <c r="AL1" s="908"/>
      <c r="AM1" s="908"/>
      <c r="AN1" s="908"/>
      <c r="AO1" s="908"/>
      <c r="AP1" s="908"/>
      <c r="AQ1" s="908"/>
      <c r="AR1" s="908"/>
      <c r="AS1" s="908"/>
      <c r="AT1" s="908"/>
      <c r="AU1" s="908"/>
      <c r="AV1" s="908"/>
      <c r="AW1" s="908"/>
      <c r="AX1" s="908"/>
      <c r="AY1" s="908"/>
      <c r="AZ1" s="908"/>
      <c r="BA1" s="908"/>
      <c r="BB1" s="908"/>
      <c r="BC1" s="908"/>
      <c r="BD1" s="908"/>
      <c r="BE1" s="908"/>
      <c r="BF1" s="908"/>
      <c r="BG1" s="908"/>
      <c r="BH1" s="908"/>
      <c r="BI1" s="908"/>
      <c r="BJ1" s="908"/>
      <c r="BK1" s="908"/>
      <c r="BL1" s="908"/>
      <c r="BM1" s="908"/>
      <c r="BN1" s="908"/>
      <c r="BO1" s="905" t="s">
        <v>1</v>
      </c>
      <c r="BP1" s="905"/>
      <c r="BQ1" s="906"/>
    </row>
    <row r="2" spans="1:71" ht="15.95" customHeight="1" x14ac:dyDescent="0.25">
      <c r="A2" s="903" t="s">
        <v>2</v>
      </c>
      <c r="B2" s="904"/>
      <c r="C2" s="904"/>
      <c r="D2" s="904"/>
      <c r="E2" s="904"/>
      <c r="F2" s="904"/>
      <c r="G2" s="904"/>
      <c r="H2" s="904"/>
      <c r="I2" s="904"/>
      <c r="J2" s="904"/>
      <c r="K2" s="904"/>
      <c r="L2" s="904"/>
      <c r="M2" s="904"/>
      <c r="N2" s="904"/>
      <c r="O2" s="904"/>
      <c r="P2" s="904"/>
      <c r="Q2" s="904"/>
      <c r="R2" s="904"/>
      <c r="S2" s="904"/>
      <c r="T2" s="904"/>
      <c r="U2" s="904"/>
      <c r="V2" s="904"/>
      <c r="W2" s="904"/>
      <c r="X2" s="904"/>
      <c r="Y2" s="904"/>
      <c r="Z2" s="904"/>
      <c r="AA2" s="904"/>
      <c r="AB2" s="904"/>
      <c r="AC2" s="904"/>
      <c r="AD2" s="904"/>
      <c r="AE2" s="904"/>
      <c r="AF2" s="904"/>
      <c r="AG2" s="904"/>
      <c r="AH2" s="904"/>
      <c r="AI2" s="904"/>
      <c r="AJ2" s="904"/>
      <c r="AK2" s="904"/>
      <c r="AL2" s="904"/>
      <c r="AM2" s="904"/>
      <c r="AN2" s="904"/>
      <c r="AO2" s="904"/>
      <c r="AP2" s="904"/>
      <c r="AQ2" s="904"/>
      <c r="AR2" s="904"/>
      <c r="AS2" s="904"/>
      <c r="AT2" s="904"/>
      <c r="AU2" s="904"/>
      <c r="AV2" s="904"/>
      <c r="AW2" s="904"/>
      <c r="AX2" s="904"/>
      <c r="AY2" s="904"/>
      <c r="AZ2" s="904"/>
      <c r="BA2" s="904"/>
      <c r="BB2" s="904"/>
      <c r="BC2" s="904"/>
      <c r="BD2" s="904"/>
      <c r="BE2" s="904"/>
      <c r="BF2" s="904"/>
      <c r="BG2" s="904"/>
      <c r="BH2" s="904"/>
      <c r="BI2" s="904"/>
      <c r="BJ2" s="904"/>
      <c r="BK2" s="904"/>
      <c r="BL2" s="904"/>
      <c r="BM2" s="904"/>
      <c r="BN2" s="904"/>
      <c r="BO2" s="501" t="s">
        <v>3</v>
      </c>
      <c r="BP2" s="502"/>
      <c r="BQ2" s="503"/>
    </row>
    <row r="3" spans="1:71" ht="26.25" customHeight="1" x14ac:dyDescent="0.25">
      <c r="A3" s="903" t="s">
        <v>257</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c r="AG3" s="904"/>
      <c r="AH3" s="904"/>
      <c r="AI3" s="904"/>
      <c r="AJ3" s="904"/>
      <c r="AK3" s="904"/>
      <c r="AL3" s="904"/>
      <c r="AM3" s="904"/>
      <c r="AN3" s="904"/>
      <c r="AO3" s="904"/>
      <c r="AP3" s="904"/>
      <c r="AQ3" s="904"/>
      <c r="AR3" s="904"/>
      <c r="AS3" s="904"/>
      <c r="AT3" s="904"/>
      <c r="AU3" s="904"/>
      <c r="AV3" s="904"/>
      <c r="AW3" s="904"/>
      <c r="AX3" s="904"/>
      <c r="AY3" s="904"/>
      <c r="AZ3" s="904"/>
      <c r="BA3" s="904"/>
      <c r="BB3" s="904"/>
      <c r="BC3" s="904"/>
      <c r="BD3" s="904"/>
      <c r="BE3" s="904"/>
      <c r="BF3" s="904"/>
      <c r="BG3" s="904"/>
      <c r="BH3" s="904"/>
      <c r="BI3" s="904"/>
      <c r="BJ3" s="904"/>
      <c r="BK3" s="904"/>
      <c r="BL3" s="904"/>
      <c r="BM3" s="904"/>
      <c r="BN3" s="904"/>
      <c r="BO3" s="501" t="s">
        <v>5</v>
      </c>
      <c r="BP3" s="502"/>
      <c r="BQ3" s="503"/>
    </row>
    <row r="4" spans="1:71" ht="15.95" customHeight="1" x14ac:dyDescent="0.25">
      <c r="A4" s="903" t="s">
        <v>258</v>
      </c>
      <c r="B4" s="904"/>
      <c r="C4" s="904"/>
      <c r="D4" s="904"/>
      <c r="E4" s="904"/>
      <c r="F4" s="904"/>
      <c r="G4" s="904"/>
      <c r="H4" s="904"/>
      <c r="I4" s="904"/>
      <c r="J4" s="904"/>
      <c r="K4" s="904"/>
      <c r="L4" s="904"/>
      <c r="M4" s="904"/>
      <c r="N4" s="904"/>
      <c r="O4" s="904"/>
      <c r="P4" s="904"/>
      <c r="Q4" s="904"/>
      <c r="R4" s="904"/>
      <c r="S4" s="904"/>
      <c r="T4" s="904"/>
      <c r="U4" s="904"/>
      <c r="V4" s="904"/>
      <c r="W4" s="904"/>
      <c r="X4" s="904"/>
      <c r="Y4" s="904"/>
      <c r="Z4" s="904"/>
      <c r="AA4" s="904"/>
      <c r="AB4" s="904"/>
      <c r="AC4" s="904"/>
      <c r="AD4" s="904"/>
      <c r="AE4" s="904"/>
      <c r="AF4" s="904"/>
      <c r="AG4" s="904"/>
      <c r="AH4" s="904"/>
      <c r="AI4" s="904"/>
      <c r="AJ4" s="904"/>
      <c r="AK4" s="904"/>
      <c r="AL4" s="904"/>
      <c r="AM4" s="904"/>
      <c r="AN4" s="904"/>
      <c r="AO4" s="904"/>
      <c r="AP4" s="904"/>
      <c r="AQ4" s="904"/>
      <c r="AR4" s="904"/>
      <c r="AS4" s="904"/>
      <c r="AT4" s="904"/>
      <c r="AU4" s="904"/>
      <c r="AV4" s="904"/>
      <c r="AW4" s="904"/>
      <c r="AX4" s="904"/>
      <c r="AY4" s="904"/>
      <c r="AZ4" s="904"/>
      <c r="BA4" s="904"/>
      <c r="BB4" s="904"/>
      <c r="BC4" s="904"/>
      <c r="BD4" s="904"/>
      <c r="BE4" s="904"/>
      <c r="BF4" s="904"/>
      <c r="BG4" s="904"/>
      <c r="BH4" s="904"/>
      <c r="BI4" s="904"/>
      <c r="BJ4" s="904"/>
      <c r="BK4" s="904"/>
      <c r="BL4" s="904"/>
      <c r="BM4" s="904"/>
      <c r="BN4" s="904"/>
      <c r="BO4" s="900" t="s">
        <v>259</v>
      </c>
      <c r="BP4" s="901"/>
      <c r="BQ4" s="902"/>
    </row>
    <row r="5" spans="1:71" ht="26.25" customHeight="1" x14ac:dyDescent="0.25">
      <c r="A5" s="909" t="s">
        <v>260</v>
      </c>
      <c r="B5" s="910"/>
      <c r="C5" s="910"/>
      <c r="D5" s="910"/>
      <c r="E5" s="910"/>
      <c r="F5" s="910"/>
      <c r="G5" s="910"/>
      <c r="H5" s="910"/>
      <c r="I5" s="910"/>
      <c r="J5" s="910"/>
      <c r="K5" s="910"/>
      <c r="L5" s="910"/>
      <c r="M5" s="910"/>
      <c r="N5" s="910"/>
      <c r="O5" s="910"/>
      <c r="P5" s="910"/>
      <c r="Q5" s="910"/>
      <c r="R5" s="910"/>
      <c r="S5" s="910"/>
      <c r="T5" s="910"/>
      <c r="U5" s="910"/>
      <c r="V5" s="910"/>
      <c r="W5" s="910"/>
      <c r="X5" s="910"/>
      <c r="Y5" s="910"/>
      <c r="Z5" s="910"/>
      <c r="AA5" s="910"/>
      <c r="AB5" s="910"/>
      <c r="AC5" s="910"/>
      <c r="AD5" s="910"/>
      <c r="AE5" s="910"/>
      <c r="AF5" s="910"/>
      <c r="AG5" s="910"/>
      <c r="AH5" s="910"/>
      <c r="AJ5" s="910" t="s">
        <v>261</v>
      </c>
      <c r="AK5" s="910"/>
      <c r="AL5" s="910"/>
      <c r="AM5" s="910"/>
      <c r="AN5" s="910"/>
      <c r="AO5" s="910"/>
      <c r="AP5" s="910"/>
      <c r="AQ5" s="910"/>
      <c r="AR5" s="910"/>
      <c r="AS5" s="910"/>
      <c r="AT5" s="910"/>
      <c r="AU5" s="910"/>
      <c r="AV5" s="910"/>
      <c r="AW5" s="910"/>
      <c r="AX5" s="910"/>
      <c r="AY5" s="910"/>
      <c r="AZ5" s="910"/>
      <c r="BA5" s="910"/>
      <c r="BB5" s="910"/>
      <c r="BC5" s="910"/>
      <c r="BD5" s="910"/>
      <c r="BE5" s="910"/>
      <c r="BF5" s="910"/>
      <c r="BG5" s="910"/>
      <c r="BH5" s="910"/>
      <c r="BI5" s="910"/>
      <c r="BJ5" s="910"/>
      <c r="BK5" s="910"/>
      <c r="BL5" s="910"/>
      <c r="BM5" s="910"/>
      <c r="BN5" s="910"/>
      <c r="BO5" s="911"/>
      <c r="BP5" s="911"/>
      <c r="BQ5" s="912"/>
    </row>
    <row r="6" spans="1:71" ht="28.5" x14ac:dyDescent="0.25">
      <c r="A6" s="332" t="s">
        <v>262</v>
      </c>
      <c r="B6" s="917" t="s">
        <v>561</v>
      </c>
      <c r="C6" s="917"/>
      <c r="D6" s="917"/>
      <c r="E6" s="917"/>
      <c r="F6" s="917"/>
      <c r="G6" s="917"/>
      <c r="H6" s="917"/>
      <c r="I6" s="917"/>
      <c r="J6" s="917"/>
      <c r="K6" s="917"/>
      <c r="L6" s="917"/>
      <c r="M6" s="917"/>
      <c r="N6" s="917"/>
      <c r="O6" s="917"/>
      <c r="P6" s="917"/>
      <c r="Q6" s="917"/>
      <c r="R6" s="917"/>
      <c r="S6" s="917"/>
      <c r="T6" s="917"/>
      <c r="U6" s="917"/>
      <c r="V6" s="917"/>
      <c r="W6" s="917"/>
      <c r="X6" s="917"/>
      <c r="Y6" s="917"/>
      <c r="Z6" s="917"/>
      <c r="AA6" s="917"/>
      <c r="AB6" s="917"/>
      <c r="AC6" s="917"/>
      <c r="AD6" s="917"/>
      <c r="AE6" s="917"/>
      <c r="AF6" s="917"/>
      <c r="AG6" s="917"/>
      <c r="AH6" s="917"/>
      <c r="AI6" s="917"/>
      <c r="AJ6" s="917"/>
      <c r="AK6" s="917"/>
      <c r="AL6" s="917"/>
      <c r="AM6" s="917"/>
      <c r="AN6" s="917"/>
      <c r="AO6" s="917"/>
      <c r="AP6" s="917"/>
      <c r="AQ6" s="917"/>
      <c r="AR6" s="917"/>
      <c r="AS6" s="917"/>
      <c r="AT6" s="917"/>
      <c r="AU6" s="917"/>
      <c r="AV6" s="917"/>
      <c r="AW6" s="917"/>
      <c r="AX6" s="917"/>
      <c r="AY6" s="917"/>
      <c r="AZ6" s="917"/>
      <c r="BA6" s="917"/>
      <c r="BB6" s="917"/>
      <c r="BC6" s="917"/>
      <c r="BD6" s="917"/>
      <c r="BE6" s="917"/>
      <c r="BF6" s="917"/>
      <c r="BG6" s="917"/>
      <c r="BH6" s="917"/>
      <c r="BI6" s="917"/>
      <c r="BJ6" s="917"/>
      <c r="BK6" s="917"/>
      <c r="BL6" s="917"/>
      <c r="BM6" s="917"/>
      <c r="BN6" s="917"/>
      <c r="BO6" s="917"/>
      <c r="BP6" s="917"/>
      <c r="BQ6" s="918"/>
    </row>
    <row r="7" spans="1:71" ht="29.25" customHeight="1" x14ac:dyDescent="0.25">
      <c r="A7" s="333" t="s">
        <v>263</v>
      </c>
      <c r="B7" s="919" t="s">
        <v>264</v>
      </c>
      <c r="C7" s="920"/>
      <c r="D7" s="920"/>
      <c r="E7" s="920"/>
      <c r="F7" s="920"/>
      <c r="G7" s="920"/>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0"/>
      <c r="AY7" s="920"/>
      <c r="AZ7" s="920"/>
      <c r="BA7" s="920"/>
      <c r="BB7" s="920"/>
      <c r="BC7" s="920"/>
      <c r="BD7" s="920"/>
      <c r="BE7" s="920"/>
      <c r="BF7" s="920"/>
      <c r="BG7" s="920"/>
      <c r="BH7" s="920"/>
      <c r="BI7" s="920"/>
      <c r="BJ7" s="920"/>
      <c r="BK7" s="920"/>
      <c r="BL7" s="920"/>
      <c r="BM7" s="920"/>
      <c r="BN7" s="920"/>
      <c r="BO7" s="920"/>
      <c r="BP7" s="920"/>
      <c r="BQ7" s="921"/>
    </row>
    <row r="8" spans="1:71" ht="6" customHeight="1" x14ac:dyDescent="0.25">
      <c r="A8" s="334"/>
      <c r="B8" s="335"/>
      <c r="C8" s="335"/>
      <c r="D8" s="335"/>
      <c r="E8" s="335"/>
      <c r="F8" s="335"/>
      <c r="G8" s="335"/>
      <c r="H8" s="335"/>
      <c r="I8" s="335"/>
      <c r="J8" s="335"/>
      <c r="K8" s="335"/>
      <c r="L8" s="335"/>
      <c r="M8" s="335"/>
      <c r="N8" s="335"/>
      <c r="O8" s="336"/>
      <c r="P8" s="336"/>
      <c r="Q8" s="336"/>
      <c r="R8" s="336"/>
      <c r="S8" s="336"/>
      <c r="T8" s="336"/>
      <c r="U8" s="336"/>
      <c r="V8" s="336"/>
      <c r="W8" s="336"/>
      <c r="X8" s="336"/>
      <c r="Y8" s="336"/>
      <c r="Z8" s="336"/>
      <c r="AA8" s="336"/>
      <c r="AB8" s="336"/>
      <c r="AC8" s="336"/>
      <c r="AD8" s="336"/>
      <c r="AE8" s="336"/>
      <c r="AF8" s="336"/>
      <c r="AG8" s="336"/>
      <c r="AH8" s="336"/>
      <c r="AJ8" s="335"/>
      <c r="AK8" s="336"/>
      <c r="AL8" s="336"/>
      <c r="AM8" s="336"/>
      <c r="AN8" s="336"/>
      <c r="AO8" s="336"/>
      <c r="AP8" s="336"/>
      <c r="AQ8" s="336"/>
      <c r="AR8" s="336"/>
      <c r="AS8" s="336"/>
      <c r="AT8" s="336"/>
      <c r="AU8" s="336"/>
      <c r="AV8" s="336"/>
      <c r="BQ8" s="326"/>
    </row>
    <row r="9" spans="1:71" ht="30" customHeight="1" x14ac:dyDescent="0.25">
      <c r="A9" s="913" t="s">
        <v>265</v>
      </c>
      <c r="B9" s="915" t="s">
        <v>30</v>
      </c>
      <c r="C9" s="916"/>
      <c r="D9" s="915" t="s">
        <v>31</v>
      </c>
      <c r="E9" s="916"/>
      <c r="F9" s="915" t="s">
        <v>32</v>
      </c>
      <c r="G9" s="916"/>
      <c r="H9" s="915" t="s">
        <v>33</v>
      </c>
      <c r="I9" s="916"/>
      <c r="J9" s="915" t="s">
        <v>34</v>
      </c>
      <c r="K9" s="916"/>
      <c r="L9" s="915" t="s">
        <v>35</v>
      </c>
      <c r="M9" s="916"/>
      <c r="N9" s="915" t="s">
        <v>8</v>
      </c>
      <c r="O9" s="916"/>
      <c r="P9" s="915" t="s">
        <v>36</v>
      </c>
      <c r="Q9" s="916"/>
      <c r="R9" s="915" t="s">
        <v>37</v>
      </c>
      <c r="S9" s="916"/>
      <c r="T9" s="915" t="s">
        <v>38</v>
      </c>
      <c r="U9" s="916"/>
      <c r="V9" s="915" t="s">
        <v>39</v>
      </c>
      <c r="W9" s="916"/>
      <c r="X9" s="915" t="s">
        <v>40</v>
      </c>
      <c r="Y9" s="916"/>
      <c r="Z9" s="915" t="s">
        <v>266</v>
      </c>
      <c r="AA9" s="916"/>
      <c r="AB9" s="922" t="s">
        <v>267</v>
      </c>
      <c r="AC9" s="915" t="s">
        <v>268</v>
      </c>
      <c r="AD9" s="924"/>
      <c r="AE9" s="924"/>
      <c r="AF9" s="924"/>
      <c r="AG9" s="924"/>
      <c r="AH9" s="916"/>
      <c r="AJ9" s="922" t="s">
        <v>265</v>
      </c>
      <c r="AK9" s="915" t="s">
        <v>30</v>
      </c>
      <c r="AL9" s="916"/>
      <c r="AM9" s="915" t="s">
        <v>31</v>
      </c>
      <c r="AN9" s="916"/>
      <c r="AO9" s="915" t="s">
        <v>32</v>
      </c>
      <c r="AP9" s="916"/>
      <c r="AQ9" s="915" t="s">
        <v>33</v>
      </c>
      <c r="AR9" s="916"/>
      <c r="AS9" s="915" t="s">
        <v>34</v>
      </c>
      <c r="AT9" s="916"/>
      <c r="AU9" s="915" t="s">
        <v>35</v>
      </c>
      <c r="AV9" s="916"/>
      <c r="AW9" s="915" t="s">
        <v>8</v>
      </c>
      <c r="AX9" s="916"/>
      <c r="AY9" s="915" t="s">
        <v>36</v>
      </c>
      <c r="AZ9" s="916"/>
      <c r="BA9" s="915" t="s">
        <v>37</v>
      </c>
      <c r="BB9" s="916"/>
      <c r="BC9" s="915" t="s">
        <v>38</v>
      </c>
      <c r="BD9" s="916"/>
      <c r="BE9" s="915" t="s">
        <v>39</v>
      </c>
      <c r="BF9" s="916"/>
      <c r="BG9" s="915" t="s">
        <v>40</v>
      </c>
      <c r="BH9" s="916"/>
      <c r="BI9" s="915" t="s">
        <v>266</v>
      </c>
      <c r="BJ9" s="916"/>
      <c r="BK9" s="922" t="s">
        <v>267</v>
      </c>
      <c r="BL9" s="915" t="s">
        <v>268</v>
      </c>
      <c r="BM9" s="924"/>
      <c r="BN9" s="924"/>
      <c r="BO9" s="924"/>
      <c r="BP9" s="924"/>
      <c r="BQ9" s="925"/>
    </row>
    <row r="10" spans="1:71" ht="28.5" customHeight="1" x14ac:dyDescent="0.25">
      <c r="A10" s="914"/>
      <c r="B10" s="360" t="s">
        <v>269</v>
      </c>
      <c r="C10" s="360" t="s">
        <v>270</v>
      </c>
      <c r="D10" s="360" t="s">
        <v>269</v>
      </c>
      <c r="E10" s="360" t="s">
        <v>270</v>
      </c>
      <c r="F10" s="360" t="s">
        <v>269</v>
      </c>
      <c r="G10" s="360" t="s">
        <v>270</v>
      </c>
      <c r="H10" s="360" t="s">
        <v>269</v>
      </c>
      <c r="I10" s="360" t="s">
        <v>270</v>
      </c>
      <c r="J10" s="360" t="s">
        <v>269</v>
      </c>
      <c r="K10" s="360" t="s">
        <v>270</v>
      </c>
      <c r="L10" s="360" t="s">
        <v>269</v>
      </c>
      <c r="M10" s="360" t="s">
        <v>270</v>
      </c>
      <c r="N10" s="360" t="s">
        <v>269</v>
      </c>
      <c r="O10" s="360" t="s">
        <v>270</v>
      </c>
      <c r="P10" s="360" t="s">
        <v>269</v>
      </c>
      <c r="Q10" s="360" t="s">
        <v>270</v>
      </c>
      <c r="R10" s="360" t="s">
        <v>269</v>
      </c>
      <c r="S10" s="360" t="s">
        <v>270</v>
      </c>
      <c r="T10" s="360" t="s">
        <v>269</v>
      </c>
      <c r="U10" s="360" t="s">
        <v>270</v>
      </c>
      <c r="V10" s="360" t="s">
        <v>269</v>
      </c>
      <c r="W10" s="360" t="s">
        <v>270</v>
      </c>
      <c r="X10" s="360" t="s">
        <v>269</v>
      </c>
      <c r="Y10" s="360" t="s">
        <v>270</v>
      </c>
      <c r="Z10" s="360" t="s">
        <v>269</v>
      </c>
      <c r="AA10" s="360" t="s">
        <v>270</v>
      </c>
      <c r="AB10" s="923"/>
      <c r="AC10" s="360" t="s">
        <v>271</v>
      </c>
      <c r="AD10" s="139" t="s">
        <v>272</v>
      </c>
      <c r="AE10" s="360" t="s">
        <v>273</v>
      </c>
      <c r="AF10" s="360" t="s">
        <v>274</v>
      </c>
      <c r="AG10" s="360" t="s">
        <v>275</v>
      </c>
      <c r="AH10" s="360" t="s">
        <v>276</v>
      </c>
      <c r="AJ10" s="923"/>
      <c r="AK10" s="360" t="s">
        <v>269</v>
      </c>
      <c r="AL10" s="360" t="s">
        <v>270</v>
      </c>
      <c r="AM10" s="360" t="s">
        <v>269</v>
      </c>
      <c r="AN10" s="360" t="s">
        <v>270</v>
      </c>
      <c r="AO10" s="360" t="s">
        <v>269</v>
      </c>
      <c r="AP10" s="360" t="s">
        <v>270</v>
      </c>
      <c r="AQ10" s="360" t="s">
        <v>269</v>
      </c>
      <c r="AR10" s="360" t="s">
        <v>270</v>
      </c>
      <c r="AS10" s="360" t="s">
        <v>269</v>
      </c>
      <c r="AT10" s="360" t="s">
        <v>270</v>
      </c>
      <c r="AU10" s="360" t="s">
        <v>269</v>
      </c>
      <c r="AV10" s="360" t="s">
        <v>270</v>
      </c>
      <c r="AW10" s="360" t="s">
        <v>269</v>
      </c>
      <c r="AX10" s="360" t="s">
        <v>270</v>
      </c>
      <c r="AY10" s="360" t="s">
        <v>269</v>
      </c>
      <c r="AZ10" s="360" t="s">
        <v>270</v>
      </c>
      <c r="BA10" s="360" t="s">
        <v>269</v>
      </c>
      <c r="BB10" s="360" t="s">
        <v>270</v>
      </c>
      <c r="BC10" s="360" t="s">
        <v>269</v>
      </c>
      <c r="BD10" s="360" t="s">
        <v>270</v>
      </c>
      <c r="BE10" s="360" t="s">
        <v>269</v>
      </c>
      <c r="BF10" s="360" t="s">
        <v>270</v>
      </c>
      <c r="BG10" s="360" t="s">
        <v>269</v>
      </c>
      <c r="BH10" s="360" t="s">
        <v>270</v>
      </c>
      <c r="BI10" s="360" t="s">
        <v>269</v>
      </c>
      <c r="BJ10" s="360" t="s">
        <v>270</v>
      </c>
      <c r="BK10" s="923"/>
      <c r="BL10" s="360" t="s">
        <v>271</v>
      </c>
      <c r="BM10" s="139" t="s">
        <v>272</v>
      </c>
      <c r="BN10" s="360" t="s">
        <v>273</v>
      </c>
      <c r="BO10" s="360" t="s">
        <v>274</v>
      </c>
      <c r="BP10" s="360" t="s">
        <v>275</v>
      </c>
      <c r="BQ10" s="337" t="s">
        <v>276</v>
      </c>
    </row>
    <row r="11" spans="1:71" ht="168.75" customHeight="1" x14ac:dyDescent="0.25">
      <c r="A11" s="338" t="s">
        <v>277</v>
      </c>
      <c r="B11" s="233">
        <v>100</v>
      </c>
      <c r="C11" s="233"/>
      <c r="D11" s="233">
        <v>230</v>
      </c>
      <c r="E11" s="233"/>
      <c r="F11" s="233">
        <v>230</v>
      </c>
      <c r="G11" s="233"/>
      <c r="H11" s="233"/>
      <c r="I11" s="233"/>
      <c r="J11" s="233"/>
      <c r="K11" s="233"/>
      <c r="L11" s="233"/>
      <c r="M11" s="233"/>
      <c r="N11" s="140"/>
      <c r="O11" s="141"/>
      <c r="P11" s="141"/>
      <c r="Q11" s="141"/>
      <c r="R11" s="141"/>
      <c r="S11" s="141"/>
      <c r="T11" s="141"/>
      <c r="U11" s="141"/>
      <c r="V11" s="141"/>
      <c r="W11" s="141"/>
      <c r="X11" s="141"/>
      <c r="Y11" s="141"/>
      <c r="Z11" s="269">
        <f>B11+D11+F11+H11+J11+L11+N11+P11+R11+T11+V11+X11</f>
        <v>560</v>
      </c>
      <c r="AA11" s="145">
        <f>C11+E11+G11+I11+K11+M11+O11+Q11+S11+U11+W11+Y11</f>
        <v>0</v>
      </c>
      <c r="AB11" s="265" t="s">
        <v>278</v>
      </c>
      <c r="AC11" s="140">
        <v>0</v>
      </c>
      <c r="AD11" s="140">
        <v>0</v>
      </c>
      <c r="AE11" s="140">
        <v>0</v>
      </c>
      <c r="AF11" s="140">
        <v>81</v>
      </c>
      <c r="AG11" s="140">
        <v>109</v>
      </c>
      <c r="AH11" s="265">
        <v>2</v>
      </c>
      <c r="AJ11" s="140" t="s">
        <v>277</v>
      </c>
      <c r="AK11" s="113">
        <v>221</v>
      </c>
      <c r="AL11" s="113"/>
      <c r="AM11" s="113">
        <v>300</v>
      </c>
      <c r="AN11" s="113"/>
      <c r="AO11" s="113">
        <v>378</v>
      </c>
      <c r="AP11" s="113"/>
      <c r="AQ11" s="113">
        <v>272</v>
      </c>
      <c r="AR11" s="113"/>
      <c r="AS11" s="113">
        <v>430</v>
      </c>
      <c r="AT11" s="113"/>
      <c r="AU11" s="113">
        <v>281</v>
      </c>
      <c r="AV11" s="113"/>
      <c r="AW11" s="113">
        <v>348</v>
      </c>
      <c r="AX11" s="365"/>
      <c r="AY11" s="365">
        <v>425</v>
      </c>
      <c r="AZ11" s="141"/>
      <c r="BA11" s="141">
        <v>361</v>
      </c>
      <c r="BB11" s="141"/>
      <c r="BC11" s="141">
        <v>376</v>
      </c>
      <c r="BD11" s="141"/>
      <c r="BE11" s="141">
        <v>451</v>
      </c>
      <c r="BF11" s="141"/>
      <c r="BG11" s="141">
        <v>543</v>
      </c>
      <c r="BH11" s="141"/>
      <c r="BI11" s="141">
        <f>AK11+AM11+AO11+AQ11+AS11+AU11+AW11+AY11+BA11+BC11+BE11+BG11</f>
        <v>4386</v>
      </c>
      <c r="BJ11" s="145">
        <f>AL11+AN11+AP11+AR11+AT11+AV11+AX11+AZ11+BB11+BD11+BF11+BH11</f>
        <v>0</v>
      </c>
      <c r="BK11" s="265" t="s">
        <v>562</v>
      </c>
      <c r="BL11" s="140">
        <v>0</v>
      </c>
      <c r="BM11" s="140">
        <v>0</v>
      </c>
      <c r="BN11" s="140">
        <v>0</v>
      </c>
      <c r="BO11" s="140">
        <v>144</v>
      </c>
      <c r="BP11" s="140">
        <v>168</v>
      </c>
      <c r="BQ11" s="339">
        <v>3</v>
      </c>
      <c r="BR11"/>
      <c r="BS11" s="366" t="s">
        <v>563</v>
      </c>
    </row>
    <row r="12" spans="1:71" x14ac:dyDescent="0.25">
      <c r="A12" s="338" t="s">
        <v>279</v>
      </c>
      <c r="B12" s="140"/>
      <c r="C12" s="140"/>
      <c r="D12" s="140"/>
      <c r="E12" s="140"/>
      <c r="F12" s="140"/>
      <c r="G12" s="140"/>
      <c r="H12" s="140"/>
      <c r="I12" s="140"/>
      <c r="J12" s="140"/>
      <c r="K12" s="140"/>
      <c r="L12" s="140"/>
      <c r="M12" s="140"/>
      <c r="N12" s="140"/>
      <c r="O12" s="141"/>
      <c r="P12" s="141"/>
      <c r="Q12" s="141"/>
      <c r="R12" s="141"/>
      <c r="S12" s="141"/>
      <c r="T12" s="141"/>
      <c r="U12" s="141"/>
      <c r="V12" s="141"/>
      <c r="W12" s="141"/>
      <c r="X12" s="141"/>
      <c r="Y12" s="141"/>
      <c r="Z12" s="141">
        <f t="shared" ref="Z12:AA31" si="0">B12+D12+F12+H12+J12+L12+N12+P12+R12+T12+V12+X12</f>
        <v>0</v>
      </c>
      <c r="AA12" s="145">
        <f t="shared" si="0"/>
        <v>0</v>
      </c>
      <c r="AB12" s="143"/>
      <c r="AC12" s="143"/>
      <c r="AD12" s="143"/>
      <c r="AE12" s="143"/>
      <c r="AF12" s="143"/>
      <c r="AG12" s="143"/>
      <c r="AH12" s="143"/>
      <c r="AJ12" s="140" t="s">
        <v>279</v>
      </c>
      <c r="AK12" s="140"/>
      <c r="AL12" s="140"/>
      <c r="AM12" s="140"/>
      <c r="AN12" s="140"/>
      <c r="AO12" s="140"/>
      <c r="AP12" s="140"/>
      <c r="AQ12" s="140"/>
      <c r="AR12" s="140"/>
      <c r="AS12" s="140"/>
      <c r="AT12" s="140"/>
      <c r="AU12" s="140"/>
      <c r="AV12" s="140"/>
      <c r="AW12" s="140"/>
      <c r="AX12" s="141"/>
      <c r="AY12" s="141"/>
      <c r="AZ12" s="141"/>
      <c r="BA12" s="141"/>
      <c r="BB12" s="141"/>
      <c r="BC12" s="141"/>
      <c r="BD12" s="141"/>
      <c r="BE12" s="141"/>
      <c r="BF12" s="141"/>
      <c r="BG12" s="141"/>
      <c r="BH12" s="141"/>
      <c r="BI12" s="141">
        <f t="shared" ref="BI12:BJ31" si="1">AK12+AM12+AO12+AQ12+AS12+AU12+AW12+AY12+BA12+BC12+BE12+BG12</f>
        <v>0</v>
      </c>
      <c r="BJ12" s="145">
        <f t="shared" si="1"/>
        <v>0</v>
      </c>
      <c r="BK12" s="143"/>
      <c r="BL12" s="143"/>
      <c r="BM12" s="143"/>
      <c r="BN12" s="143"/>
      <c r="BO12" s="143"/>
      <c r="BP12" s="143"/>
      <c r="BQ12" s="340"/>
    </row>
    <row r="13" spans="1:71" x14ac:dyDescent="0.25">
      <c r="A13" s="338" t="s">
        <v>280</v>
      </c>
      <c r="B13" s="140"/>
      <c r="C13" s="140"/>
      <c r="D13" s="140"/>
      <c r="E13" s="140"/>
      <c r="F13" s="140"/>
      <c r="G13" s="140"/>
      <c r="H13" s="140"/>
      <c r="I13" s="140"/>
      <c r="J13" s="140"/>
      <c r="K13" s="140"/>
      <c r="L13" s="140"/>
      <c r="M13" s="140"/>
      <c r="N13" s="140"/>
      <c r="O13" s="141"/>
      <c r="P13" s="141"/>
      <c r="Q13" s="141"/>
      <c r="R13" s="141"/>
      <c r="S13" s="141"/>
      <c r="T13" s="141"/>
      <c r="U13" s="141"/>
      <c r="V13" s="141"/>
      <c r="W13" s="141"/>
      <c r="X13" s="141"/>
      <c r="Y13" s="141"/>
      <c r="Z13" s="141">
        <f t="shared" si="0"/>
        <v>0</v>
      </c>
      <c r="AA13" s="145">
        <f t="shared" si="0"/>
        <v>0</v>
      </c>
      <c r="AB13" s="143"/>
      <c r="AC13" s="143"/>
      <c r="AD13" s="143"/>
      <c r="AE13" s="143"/>
      <c r="AF13" s="143"/>
      <c r="AG13" s="143"/>
      <c r="AH13" s="143"/>
      <c r="AJ13" s="140" t="s">
        <v>280</v>
      </c>
      <c r="AK13" s="140"/>
      <c r="AL13" s="140"/>
      <c r="AM13" s="140"/>
      <c r="AN13" s="140"/>
      <c r="AO13" s="140"/>
      <c r="AP13" s="140"/>
      <c r="AQ13" s="140"/>
      <c r="AR13" s="140"/>
      <c r="AS13" s="140"/>
      <c r="AT13" s="140"/>
      <c r="AU13" s="140"/>
      <c r="AV13" s="140"/>
      <c r="AW13" s="140"/>
      <c r="AX13" s="141"/>
      <c r="AY13" s="141"/>
      <c r="AZ13" s="141"/>
      <c r="BA13" s="141"/>
      <c r="BB13" s="141"/>
      <c r="BC13" s="141"/>
      <c r="BD13" s="141"/>
      <c r="BE13" s="141"/>
      <c r="BF13" s="141"/>
      <c r="BG13" s="141"/>
      <c r="BH13" s="141"/>
      <c r="BI13" s="141">
        <f t="shared" si="1"/>
        <v>0</v>
      </c>
      <c r="BJ13" s="145">
        <f t="shared" si="1"/>
        <v>0</v>
      </c>
      <c r="BK13" s="143"/>
      <c r="BL13" s="143"/>
      <c r="BM13" s="143"/>
      <c r="BN13" s="143"/>
      <c r="BO13" s="143"/>
      <c r="BP13" s="143"/>
      <c r="BQ13" s="340"/>
    </row>
    <row r="14" spans="1:71" x14ac:dyDescent="0.25">
      <c r="A14" s="338" t="s">
        <v>281</v>
      </c>
      <c r="B14" s="140"/>
      <c r="C14" s="140"/>
      <c r="D14" s="140"/>
      <c r="E14" s="140"/>
      <c r="F14" s="140"/>
      <c r="G14" s="140"/>
      <c r="H14" s="140"/>
      <c r="I14" s="140"/>
      <c r="J14" s="140"/>
      <c r="K14" s="140"/>
      <c r="L14" s="140"/>
      <c r="M14" s="140"/>
      <c r="N14" s="140"/>
      <c r="O14" s="141"/>
      <c r="P14" s="141"/>
      <c r="Q14" s="141"/>
      <c r="R14" s="141"/>
      <c r="S14" s="141"/>
      <c r="T14" s="141"/>
      <c r="U14" s="141"/>
      <c r="V14" s="141"/>
      <c r="W14" s="141"/>
      <c r="X14" s="141"/>
      <c r="Y14" s="141"/>
      <c r="Z14" s="141">
        <f t="shared" si="0"/>
        <v>0</v>
      </c>
      <c r="AA14" s="145">
        <f t="shared" si="0"/>
        <v>0</v>
      </c>
      <c r="AB14" s="143"/>
      <c r="AC14" s="143"/>
      <c r="AD14" s="143"/>
      <c r="AE14" s="143"/>
      <c r="AF14" s="143"/>
      <c r="AG14" s="143"/>
      <c r="AH14" s="143"/>
      <c r="AJ14" s="140" t="s">
        <v>281</v>
      </c>
      <c r="AK14" s="140"/>
      <c r="AL14" s="140"/>
      <c r="AM14" s="140"/>
      <c r="AN14" s="140"/>
      <c r="AO14" s="140"/>
      <c r="AP14" s="140"/>
      <c r="AQ14" s="140"/>
      <c r="AR14" s="140"/>
      <c r="AS14" s="140"/>
      <c r="AT14" s="140"/>
      <c r="AU14" s="140"/>
      <c r="AV14" s="140"/>
      <c r="AW14" s="140"/>
      <c r="AX14" s="141"/>
      <c r="AY14" s="141"/>
      <c r="AZ14" s="141"/>
      <c r="BA14" s="141"/>
      <c r="BB14" s="141"/>
      <c r="BC14" s="141"/>
      <c r="BD14" s="141"/>
      <c r="BE14" s="141"/>
      <c r="BF14" s="141"/>
      <c r="BG14" s="141"/>
      <c r="BH14" s="141"/>
      <c r="BI14" s="141">
        <f t="shared" si="1"/>
        <v>0</v>
      </c>
      <c r="BJ14" s="145">
        <f t="shared" si="1"/>
        <v>0</v>
      </c>
      <c r="BK14" s="143"/>
      <c r="BL14" s="143"/>
      <c r="BM14" s="143"/>
      <c r="BN14" s="143"/>
      <c r="BO14" s="143"/>
      <c r="BP14" s="143"/>
      <c r="BQ14" s="340"/>
    </row>
    <row r="15" spans="1:71" x14ac:dyDescent="0.25">
      <c r="A15" s="338" t="s">
        <v>282</v>
      </c>
      <c r="B15" s="140"/>
      <c r="C15" s="140"/>
      <c r="D15" s="140"/>
      <c r="E15" s="140"/>
      <c r="F15" s="140"/>
      <c r="G15" s="140"/>
      <c r="H15" s="140"/>
      <c r="I15" s="140"/>
      <c r="J15" s="140"/>
      <c r="K15" s="140"/>
      <c r="L15" s="140"/>
      <c r="M15" s="140"/>
      <c r="N15" s="140"/>
      <c r="O15" s="141"/>
      <c r="P15" s="141"/>
      <c r="Q15" s="141"/>
      <c r="R15" s="141"/>
      <c r="S15" s="141"/>
      <c r="T15" s="141"/>
      <c r="U15" s="141"/>
      <c r="V15" s="141"/>
      <c r="W15" s="141"/>
      <c r="X15" s="141"/>
      <c r="Y15" s="141"/>
      <c r="Z15" s="141">
        <f t="shared" si="0"/>
        <v>0</v>
      </c>
      <c r="AA15" s="145">
        <f t="shared" si="0"/>
        <v>0</v>
      </c>
      <c r="AB15" s="143"/>
      <c r="AC15" s="143"/>
      <c r="AD15" s="143"/>
      <c r="AE15" s="143"/>
      <c r="AF15" s="143"/>
      <c r="AG15" s="143"/>
      <c r="AH15" s="143"/>
      <c r="AJ15" s="140" t="s">
        <v>282</v>
      </c>
      <c r="AK15" s="140"/>
      <c r="AL15" s="140"/>
      <c r="AM15" s="140"/>
      <c r="AN15" s="140"/>
      <c r="AO15" s="140"/>
      <c r="AP15" s="140"/>
      <c r="AQ15" s="140"/>
      <c r="AR15" s="140"/>
      <c r="AS15" s="140"/>
      <c r="AT15" s="140"/>
      <c r="AU15" s="140"/>
      <c r="AV15" s="140"/>
      <c r="AW15" s="140"/>
      <c r="AX15" s="141"/>
      <c r="AY15" s="141"/>
      <c r="AZ15" s="141"/>
      <c r="BA15" s="141"/>
      <c r="BB15" s="141"/>
      <c r="BC15" s="141"/>
      <c r="BD15" s="141"/>
      <c r="BE15" s="141"/>
      <c r="BF15" s="141"/>
      <c r="BG15" s="141"/>
      <c r="BH15" s="141"/>
      <c r="BI15" s="141">
        <f t="shared" si="1"/>
        <v>0</v>
      </c>
      <c r="BJ15" s="145">
        <f t="shared" si="1"/>
        <v>0</v>
      </c>
      <c r="BK15" s="143"/>
      <c r="BL15" s="143"/>
      <c r="BM15" s="143"/>
      <c r="BN15" s="143"/>
      <c r="BO15" s="143"/>
      <c r="BP15" s="143"/>
      <c r="BQ15" s="340"/>
    </row>
    <row r="16" spans="1:71" x14ac:dyDescent="0.25">
      <c r="A16" s="338" t="s">
        <v>283</v>
      </c>
      <c r="B16" s="140"/>
      <c r="C16" s="140"/>
      <c r="D16" s="140"/>
      <c r="E16" s="140"/>
      <c r="F16" s="140"/>
      <c r="G16" s="140"/>
      <c r="H16" s="140"/>
      <c r="I16" s="140"/>
      <c r="J16" s="140"/>
      <c r="K16" s="140"/>
      <c r="L16" s="140"/>
      <c r="M16" s="140"/>
      <c r="N16" s="140"/>
      <c r="O16" s="141"/>
      <c r="P16" s="141"/>
      <c r="Q16" s="141"/>
      <c r="R16" s="141"/>
      <c r="S16" s="141"/>
      <c r="T16" s="141"/>
      <c r="U16" s="141"/>
      <c r="V16" s="141"/>
      <c r="W16" s="141"/>
      <c r="X16" s="141"/>
      <c r="Y16" s="141"/>
      <c r="Z16" s="141">
        <f t="shared" si="0"/>
        <v>0</v>
      </c>
      <c r="AA16" s="145">
        <f t="shared" si="0"/>
        <v>0</v>
      </c>
      <c r="AB16" s="143"/>
      <c r="AC16" s="143"/>
      <c r="AD16" s="143"/>
      <c r="AE16" s="143"/>
      <c r="AF16" s="143"/>
      <c r="AG16" s="143"/>
      <c r="AH16" s="143"/>
      <c r="AJ16" s="140" t="s">
        <v>283</v>
      </c>
      <c r="AK16" s="140"/>
      <c r="AL16" s="140"/>
      <c r="AM16" s="140"/>
      <c r="AN16" s="140"/>
      <c r="AO16" s="140"/>
      <c r="AP16" s="140"/>
      <c r="AQ16" s="140"/>
      <c r="AR16" s="140"/>
      <c r="AS16" s="140"/>
      <c r="AT16" s="140"/>
      <c r="AU16" s="140"/>
      <c r="AV16" s="140"/>
      <c r="AW16" s="140"/>
      <c r="AX16" s="141"/>
      <c r="AY16" s="141"/>
      <c r="AZ16" s="141"/>
      <c r="BA16" s="141"/>
      <c r="BB16" s="141"/>
      <c r="BC16" s="141"/>
      <c r="BD16" s="141"/>
      <c r="BE16" s="141"/>
      <c r="BF16" s="141"/>
      <c r="BG16" s="141"/>
      <c r="BH16" s="141"/>
      <c r="BI16" s="141">
        <f t="shared" si="1"/>
        <v>0</v>
      </c>
      <c r="BJ16" s="145">
        <f t="shared" si="1"/>
        <v>0</v>
      </c>
      <c r="BK16" s="143"/>
      <c r="BL16" s="143"/>
      <c r="BM16" s="143"/>
      <c r="BN16" s="143"/>
      <c r="BO16" s="143"/>
      <c r="BP16" s="143"/>
      <c r="BQ16" s="340"/>
    </row>
    <row r="17" spans="1:71" x14ac:dyDescent="0.25">
      <c r="A17" s="338" t="s">
        <v>284</v>
      </c>
      <c r="B17" s="140"/>
      <c r="C17" s="140"/>
      <c r="D17" s="140"/>
      <c r="E17" s="140"/>
      <c r="F17" s="140"/>
      <c r="G17" s="140"/>
      <c r="H17" s="140"/>
      <c r="I17" s="140"/>
      <c r="J17" s="140"/>
      <c r="K17" s="140"/>
      <c r="L17" s="140"/>
      <c r="M17" s="140"/>
      <c r="N17" s="140"/>
      <c r="O17" s="141"/>
      <c r="P17" s="141"/>
      <c r="Q17" s="141"/>
      <c r="R17" s="141"/>
      <c r="S17" s="141"/>
      <c r="T17" s="141"/>
      <c r="U17" s="141"/>
      <c r="V17" s="141"/>
      <c r="W17" s="141"/>
      <c r="X17" s="141"/>
      <c r="Y17" s="141"/>
      <c r="Z17" s="141">
        <f t="shared" si="0"/>
        <v>0</v>
      </c>
      <c r="AA17" s="145">
        <f t="shared" si="0"/>
        <v>0</v>
      </c>
      <c r="AB17" s="143"/>
      <c r="AC17" s="143"/>
      <c r="AD17" s="143"/>
      <c r="AE17" s="143"/>
      <c r="AF17" s="143"/>
      <c r="AG17" s="143"/>
      <c r="AH17" s="143"/>
      <c r="AJ17" s="140" t="s">
        <v>284</v>
      </c>
      <c r="AK17" s="140"/>
      <c r="AL17" s="140"/>
      <c r="AM17" s="140"/>
      <c r="AN17" s="140"/>
      <c r="AO17" s="140"/>
      <c r="AP17" s="140"/>
      <c r="AQ17" s="140"/>
      <c r="AR17" s="140"/>
      <c r="AS17" s="140"/>
      <c r="AT17" s="140"/>
      <c r="AU17" s="140"/>
      <c r="AV17" s="140"/>
      <c r="AW17" s="140"/>
      <c r="AX17" s="141"/>
      <c r="AY17" s="141"/>
      <c r="AZ17" s="141"/>
      <c r="BA17" s="141"/>
      <c r="BB17" s="141"/>
      <c r="BC17" s="141"/>
      <c r="BD17" s="141"/>
      <c r="BE17" s="141"/>
      <c r="BF17" s="141"/>
      <c r="BG17" s="141"/>
      <c r="BH17" s="141"/>
      <c r="BI17" s="141">
        <f t="shared" si="1"/>
        <v>0</v>
      </c>
      <c r="BJ17" s="145">
        <f t="shared" si="1"/>
        <v>0</v>
      </c>
      <c r="BK17" s="143"/>
      <c r="BL17" s="143"/>
      <c r="BM17" s="143"/>
      <c r="BN17" s="143"/>
      <c r="BO17" s="143"/>
      <c r="BP17" s="143"/>
      <c r="BQ17" s="340"/>
    </row>
    <row r="18" spans="1:71" x14ac:dyDescent="0.25">
      <c r="A18" s="338" t="s">
        <v>285</v>
      </c>
      <c r="B18" s="140"/>
      <c r="C18" s="140"/>
      <c r="D18" s="140"/>
      <c r="E18" s="140"/>
      <c r="F18" s="140"/>
      <c r="G18" s="140"/>
      <c r="H18" s="140"/>
      <c r="I18" s="140"/>
      <c r="J18" s="140"/>
      <c r="K18" s="140"/>
      <c r="L18" s="140"/>
      <c r="M18" s="140"/>
      <c r="N18" s="140"/>
      <c r="O18" s="141"/>
      <c r="P18" s="141"/>
      <c r="Q18" s="141"/>
      <c r="R18" s="141"/>
      <c r="S18" s="141"/>
      <c r="T18" s="141"/>
      <c r="U18" s="141"/>
      <c r="V18" s="141"/>
      <c r="W18" s="141"/>
      <c r="X18" s="141"/>
      <c r="Y18" s="141"/>
      <c r="Z18" s="141">
        <f t="shared" si="0"/>
        <v>0</v>
      </c>
      <c r="AA18" s="145">
        <f t="shared" si="0"/>
        <v>0</v>
      </c>
      <c r="AB18" s="143"/>
      <c r="AC18" s="143"/>
      <c r="AD18" s="143"/>
      <c r="AE18" s="143"/>
      <c r="AF18" s="143"/>
      <c r="AG18" s="143"/>
      <c r="AH18" s="143"/>
      <c r="AJ18" s="140" t="s">
        <v>285</v>
      </c>
      <c r="AK18" s="140"/>
      <c r="AL18" s="140"/>
      <c r="AM18" s="140"/>
      <c r="AN18" s="140"/>
      <c r="AO18" s="140"/>
      <c r="AP18" s="140"/>
      <c r="AQ18" s="140"/>
      <c r="AR18" s="140"/>
      <c r="AS18" s="140"/>
      <c r="AT18" s="140"/>
      <c r="AU18" s="140"/>
      <c r="AV18" s="140"/>
      <c r="AW18" s="140"/>
      <c r="AX18" s="141"/>
      <c r="AY18" s="141"/>
      <c r="AZ18" s="141"/>
      <c r="BA18" s="141"/>
      <c r="BB18" s="141"/>
      <c r="BC18" s="141"/>
      <c r="BD18" s="141"/>
      <c r="BE18" s="141"/>
      <c r="BF18" s="141"/>
      <c r="BG18" s="141"/>
      <c r="BH18" s="141"/>
      <c r="BI18" s="141">
        <f t="shared" si="1"/>
        <v>0</v>
      </c>
      <c r="BJ18" s="145">
        <f t="shared" si="1"/>
        <v>0</v>
      </c>
      <c r="BK18" s="143"/>
      <c r="BL18" s="143"/>
      <c r="BM18" s="143"/>
      <c r="BN18" s="143"/>
      <c r="BO18" s="143"/>
      <c r="BP18" s="143"/>
      <c r="BQ18" s="340"/>
    </row>
    <row r="19" spans="1:71" x14ac:dyDescent="0.25">
      <c r="A19" s="338" t="s">
        <v>286</v>
      </c>
      <c r="B19" s="140"/>
      <c r="C19" s="140"/>
      <c r="D19" s="140"/>
      <c r="E19" s="140"/>
      <c r="F19" s="140"/>
      <c r="G19" s="140"/>
      <c r="H19" s="140"/>
      <c r="I19" s="140"/>
      <c r="J19" s="140"/>
      <c r="K19" s="140"/>
      <c r="L19" s="140"/>
      <c r="M19" s="140"/>
      <c r="N19" s="140"/>
      <c r="O19" s="141"/>
      <c r="P19" s="141"/>
      <c r="Q19" s="141"/>
      <c r="R19" s="141"/>
      <c r="S19" s="141"/>
      <c r="T19" s="141"/>
      <c r="U19" s="141"/>
      <c r="V19" s="141"/>
      <c r="W19" s="141"/>
      <c r="X19" s="141"/>
      <c r="Y19" s="141"/>
      <c r="Z19" s="141">
        <f t="shared" si="0"/>
        <v>0</v>
      </c>
      <c r="AA19" s="145">
        <f t="shared" si="0"/>
        <v>0</v>
      </c>
      <c r="AB19" s="143"/>
      <c r="AC19" s="143"/>
      <c r="AD19" s="143"/>
      <c r="AE19" s="143"/>
      <c r="AF19" s="143"/>
      <c r="AG19" s="143"/>
      <c r="AH19" s="143"/>
      <c r="AJ19" s="140" t="s">
        <v>286</v>
      </c>
      <c r="AK19" s="140"/>
      <c r="AL19" s="140"/>
      <c r="AM19" s="140"/>
      <c r="AN19" s="140"/>
      <c r="AO19" s="140"/>
      <c r="AP19" s="140"/>
      <c r="AQ19" s="140"/>
      <c r="AR19" s="140"/>
      <c r="AS19" s="140"/>
      <c r="AT19" s="140"/>
      <c r="AU19" s="140"/>
      <c r="AV19" s="140"/>
      <c r="AW19" s="140"/>
      <c r="AX19" s="141"/>
      <c r="AY19" s="141"/>
      <c r="AZ19" s="141"/>
      <c r="BA19" s="141"/>
      <c r="BB19" s="141"/>
      <c r="BC19" s="141"/>
      <c r="BD19" s="141"/>
      <c r="BE19" s="141"/>
      <c r="BF19" s="141"/>
      <c r="BG19" s="141"/>
      <c r="BH19" s="141"/>
      <c r="BI19" s="141">
        <f t="shared" si="1"/>
        <v>0</v>
      </c>
      <c r="BJ19" s="145">
        <f t="shared" si="1"/>
        <v>0</v>
      </c>
      <c r="BK19" s="143"/>
      <c r="BL19" s="143"/>
      <c r="BM19" s="143"/>
      <c r="BN19" s="143"/>
      <c r="BO19" s="143"/>
      <c r="BP19" s="143"/>
      <c r="BQ19" s="340"/>
    </row>
    <row r="20" spans="1:71" x14ac:dyDescent="0.25">
      <c r="A20" s="338" t="s">
        <v>287</v>
      </c>
      <c r="B20" s="140"/>
      <c r="C20" s="140"/>
      <c r="D20" s="140"/>
      <c r="E20" s="140"/>
      <c r="F20" s="140"/>
      <c r="G20" s="140"/>
      <c r="H20" s="140"/>
      <c r="I20" s="140"/>
      <c r="J20" s="140"/>
      <c r="K20" s="140"/>
      <c r="L20" s="140"/>
      <c r="M20" s="140"/>
      <c r="N20" s="140"/>
      <c r="O20" s="141"/>
      <c r="P20" s="141"/>
      <c r="Q20" s="141"/>
      <c r="R20" s="141"/>
      <c r="S20" s="141"/>
      <c r="T20" s="141"/>
      <c r="U20" s="141"/>
      <c r="V20" s="141"/>
      <c r="W20" s="141"/>
      <c r="X20" s="141"/>
      <c r="Y20" s="141"/>
      <c r="Z20" s="141">
        <f t="shared" si="0"/>
        <v>0</v>
      </c>
      <c r="AA20" s="145">
        <f t="shared" si="0"/>
        <v>0</v>
      </c>
      <c r="AB20" s="143"/>
      <c r="AC20" s="143"/>
      <c r="AD20" s="143"/>
      <c r="AE20" s="143"/>
      <c r="AF20" s="143"/>
      <c r="AG20" s="143"/>
      <c r="AH20" s="143"/>
      <c r="AJ20" s="140" t="s">
        <v>287</v>
      </c>
      <c r="AK20" s="140"/>
      <c r="AL20" s="140"/>
      <c r="AM20" s="140"/>
      <c r="AN20" s="140"/>
      <c r="AO20" s="140"/>
      <c r="AP20" s="140"/>
      <c r="AQ20" s="140"/>
      <c r="AR20" s="140"/>
      <c r="AS20" s="140"/>
      <c r="AT20" s="140"/>
      <c r="AU20" s="140"/>
      <c r="AV20" s="140"/>
      <c r="AW20" s="140"/>
      <c r="AX20" s="141"/>
      <c r="AY20" s="141"/>
      <c r="AZ20" s="141"/>
      <c r="BA20" s="141"/>
      <c r="BB20" s="141"/>
      <c r="BC20" s="141"/>
      <c r="BD20" s="141"/>
      <c r="BE20" s="141"/>
      <c r="BF20" s="141"/>
      <c r="BG20" s="141"/>
      <c r="BH20" s="141"/>
      <c r="BI20" s="141">
        <f t="shared" si="1"/>
        <v>0</v>
      </c>
      <c r="BJ20" s="145">
        <f t="shared" si="1"/>
        <v>0</v>
      </c>
      <c r="BK20" s="143"/>
      <c r="BL20" s="143"/>
      <c r="BM20" s="143"/>
      <c r="BN20" s="143"/>
      <c r="BO20" s="143"/>
      <c r="BP20" s="143"/>
      <c r="BQ20" s="340"/>
    </row>
    <row r="21" spans="1:71" x14ac:dyDescent="0.25">
      <c r="A21" s="338" t="s">
        <v>288</v>
      </c>
      <c r="B21" s="140"/>
      <c r="C21" s="140"/>
      <c r="D21" s="140"/>
      <c r="E21" s="140"/>
      <c r="F21" s="140"/>
      <c r="G21" s="140"/>
      <c r="H21" s="140"/>
      <c r="I21" s="140"/>
      <c r="J21" s="140"/>
      <c r="K21" s="140"/>
      <c r="L21" s="140"/>
      <c r="M21" s="140"/>
      <c r="N21" s="140"/>
      <c r="O21" s="141"/>
      <c r="P21" s="141"/>
      <c r="Q21" s="141"/>
      <c r="R21" s="141"/>
      <c r="S21" s="141"/>
      <c r="T21" s="141"/>
      <c r="U21" s="141"/>
      <c r="V21" s="141"/>
      <c r="W21" s="141"/>
      <c r="X21" s="141"/>
      <c r="Y21" s="141"/>
      <c r="Z21" s="141">
        <f t="shared" si="0"/>
        <v>0</v>
      </c>
      <c r="AA21" s="145">
        <f t="shared" si="0"/>
        <v>0</v>
      </c>
      <c r="AB21" s="143"/>
      <c r="AC21" s="143"/>
      <c r="AD21" s="143"/>
      <c r="AE21" s="143"/>
      <c r="AF21" s="143"/>
      <c r="AG21" s="143"/>
      <c r="AH21" s="143"/>
      <c r="AJ21" s="140" t="s">
        <v>288</v>
      </c>
      <c r="AK21" s="140"/>
      <c r="AL21" s="140"/>
      <c r="AM21" s="140"/>
      <c r="AN21" s="140"/>
      <c r="AO21" s="140"/>
      <c r="AP21" s="140"/>
      <c r="AQ21" s="140"/>
      <c r="AR21" s="140"/>
      <c r="AS21" s="140"/>
      <c r="AT21" s="140"/>
      <c r="AU21" s="140"/>
      <c r="AV21" s="140"/>
      <c r="AW21" s="140"/>
      <c r="AX21" s="141"/>
      <c r="AY21" s="141"/>
      <c r="AZ21" s="141"/>
      <c r="BA21" s="141"/>
      <c r="BB21" s="141"/>
      <c r="BC21" s="141"/>
      <c r="BD21" s="141"/>
      <c r="BE21" s="141"/>
      <c r="BF21" s="141"/>
      <c r="BG21" s="141"/>
      <c r="BH21" s="141"/>
      <c r="BI21" s="141">
        <f t="shared" si="1"/>
        <v>0</v>
      </c>
      <c r="BJ21" s="145">
        <f t="shared" si="1"/>
        <v>0</v>
      </c>
      <c r="BK21" s="143"/>
      <c r="BL21" s="143"/>
      <c r="BM21" s="143"/>
      <c r="BN21" s="143"/>
      <c r="BO21" s="143"/>
      <c r="BP21" s="143"/>
      <c r="BQ21" s="340"/>
    </row>
    <row r="22" spans="1:71" x14ac:dyDescent="0.25">
      <c r="A22" s="338" t="s">
        <v>289</v>
      </c>
      <c r="B22" s="140"/>
      <c r="C22" s="140"/>
      <c r="D22" s="140"/>
      <c r="E22" s="140"/>
      <c r="F22" s="140"/>
      <c r="G22" s="140"/>
      <c r="H22" s="140"/>
      <c r="I22" s="140"/>
      <c r="J22" s="140"/>
      <c r="K22" s="140"/>
      <c r="L22" s="140"/>
      <c r="M22" s="140"/>
      <c r="N22" s="140"/>
      <c r="O22" s="141"/>
      <c r="P22" s="141"/>
      <c r="Q22" s="141"/>
      <c r="R22" s="141"/>
      <c r="S22" s="141"/>
      <c r="T22" s="141"/>
      <c r="U22" s="141"/>
      <c r="V22" s="141"/>
      <c r="W22" s="141"/>
      <c r="X22" s="141"/>
      <c r="Y22" s="141"/>
      <c r="Z22" s="141">
        <f t="shared" si="0"/>
        <v>0</v>
      </c>
      <c r="AA22" s="145">
        <f t="shared" si="0"/>
        <v>0</v>
      </c>
      <c r="AB22" s="143"/>
      <c r="AC22" s="143"/>
      <c r="AD22" s="143"/>
      <c r="AE22" s="143"/>
      <c r="AF22" s="143"/>
      <c r="AG22" s="143"/>
      <c r="AH22" s="143"/>
      <c r="AJ22" s="140" t="s">
        <v>289</v>
      </c>
      <c r="AK22" s="140"/>
      <c r="AL22" s="140"/>
      <c r="AM22" s="140"/>
      <c r="AN22" s="140"/>
      <c r="AO22" s="140"/>
      <c r="AP22" s="140"/>
      <c r="AQ22" s="140"/>
      <c r="AR22" s="140"/>
      <c r="AS22" s="140"/>
      <c r="AT22" s="140"/>
      <c r="AU22" s="140"/>
      <c r="AV22" s="140"/>
      <c r="AW22" s="140"/>
      <c r="AX22" s="141"/>
      <c r="AY22" s="141"/>
      <c r="AZ22" s="141"/>
      <c r="BA22" s="141"/>
      <c r="BB22" s="141"/>
      <c r="BC22" s="141"/>
      <c r="BD22" s="141"/>
      <c r="BE22" s="141"/>
      <c r="BF22" s="141"/>
      <c r="BG22" s="141"/>
      <c r="BH22" s="141"/>
      <c r="BI22" s="141">
        <f t="shared" si="1"/>
        <v>0</v>
      </c>
      <c r="BJ22" s="145">
        <f t="shared" si="1"/>
        <v>0</v>
      </c>
      <c r="BK22" s="143"/>
      <c r="BL22" s="143"/>
      <c r="BM22" s="143"/>
      <c r="BN22" s="143"/>
      <c r="BO22" s="143"/>
      <c r="BP22" s="143"/>
      <c r="BQ22" s="340"/>
    </row>
    <row r="23" spans="1:71" x14ac:dyDescent="0.25">
      <c r="A23" s="338" t="s">
        <v>290</v>
      </c>
      <c r="B23" s="140"/>
      <c r="C23" s="140"/>
      <c r="D23" s="140"/>
      <c r="E23" s="140"/>
      <c r="F23" s="140"/>
      <c r="G23" s="140"/>
      <c r="H23" s="140"/>
      <c r="I23" s="140"/>
      <c r="J23" s="140"/>
      <c r="K23" s="140"/>
      <c r="L23" s="140"/>
      <c r="M23" s="140"/>
      <c r="N23" s="140"/>
      <c r="O23" s="141"/>
      <c r="P23" s="141"/>
      <c r="Q23" s="141"/>
      <c r="R23" s="141"/>
      <c r="S23" s="141"/>
      <c r="T23" s="141"/>
      <c r="U23" s="141"/>
      <c r="V23" s="141"/>
      <c r="W23" s="141"/>
      <c r="X23" s="141"/>
      <c r="Y23" s="141"/>
      <c r="Z23" s="141">
        <f t="shared" si="0"/>
        <v>0</v>
      </c>
      <c r="AA23" s="145">
        <f t="shared" si="0"/>
        <v>0</v>
      </c>
      <c r="AB23" s="143"/>
      <c r="AC23" s="143"/>
      <c r="AD23" s="143"/>
      <c r="AE23" s="143"/>
      <c r="AF23" s="143"/>
      <c r="AG23" s="143"/>
      <c r="AH23" s="143"/>
      <c r="AJ23" s="140" t="s">
        <v>290</v>
      </c>
      <c r="AK23" s="140"/>
      <c r="AL23" s="140"/>
      <c r="AM23" s="140"/>
      <c r="AN23" s="140"/>
      <c r="AO23" s="140"/>
      <c r="AP23" s="140"/>
      <c r="AQ23" s="140"/>
      <c r="AR23" s="140"/>
      <c r="AS23" s="140"/>
      <c r="AT23" s="140"/>
      <c r="AU23" s="140"/>
      <c r="AV23" s="140"/>
      <c r="AW23" s="140"/>
      <c r="AX23" s="141"/>
      <c r="AY23" s="141"/>
      <c r="AZ23" s="141"/>
      <c r="BA23" s="141"/>
      <c r="BB23" s="141"/>
      <c r="BC23" s="141"/>
      <c r="BD23" s="141"/>
      <c r="BE23" s="141"/>
      <c r="BF23" s="141"/>
      <c r="BG23" s="141"/>
      <c r="BH23" s="141"/>
      <c r="BI23" s="141">
        <f t="shared" si="1"/>
        <v>0</v>
      </c>
      <c r="BJ23" s="145">
        <f t="shared" si="1"/>
        <v>0</v>
      </c>
      <c r="BK23" s="143"/>
      <c r="BL23" s="143"/>
      <c r="BM23" s="143"/>
      <c r="BN23" s="143"/>
      <c r="BO23" s="143"/>
      <c r="BP23" s="143"/>
      <c r="BQ23" s="340"/>
    </row>
    <row r="24" spans="1:71" x14ac:dyDescent="0.25">
      <c r="A24" s="338" t="s">
        <v>291</v>
      </c>
      <c r="B24" s="140"/>
      <c r="C24" s="140"/>
      <c r="D24" s="140"/>
      <c r="E24" s="140"/>
      <c r="F24" s="140"/>
      <c r="G24" s="140"/>
      <c r="H24" s="140"/>
      <c r="I24" s="140"/>
      <c r="J24" s="140"/>
      <c r="K24" s="140"/>
      <c r="L24" s="140"/>
      <c r="M24" s="140"/>
      <c r="N24" s="140"/>
      <c r="O24" s="141"/>
      <c r="P24" s="141"/>
      <c r="Q24" s="141"/>
      <c r="R24" s="141"/>
      <c r="S24" s="141"/>
      <c r="T24" s="141"/>
      <c r="U24" s="141"/>
      <c r="V24" s="141"/>
      <c r="W24" s="141"/>
      <c r="X24" s="141"/>
      <c r="Y24" s="141"/>
      <c r="Z24" s="141">
        <f t="shared" si="0"/>
        <v>0</v>
      </c>
      <c r="AA24" s="145">
        <f t="shared" si="0"/>
        <v>0</v>
      </c>
      <c r="AB24" s="143"/>
      <c r="AC24" s="143"/>
      <c r="AD24" s="143"/>
      <c r="AE24" s="143"/>
      <c r="AF24" s="143"/>
      <c r="AG24" s="143"/>
      <c r="AH24" s="143"/>
      <c r="AJ24" s="140" t="s">
        <v>291</v>
      </c>
      <c r="AK24" s="140"/>
      <c r="AL24" s="140"/>
      <c r="AM24" s="140"/>
      <c r="AN24" s="140"/>
      <c r="AO24" s="140"/>
      <c r="AP24" s="140"/>
      <c r="AQ24" s="140"/>
      <c r="AR24" s="140"/>
      <c r="AS24" s="140"/>
      <c r="AT24" s="140"/>
      <c r="AU24" s="140"/>
      <c r="AV24" s="140"/>
      <c r="AW24" s="140"/>
      <c r="AX24" s="141"/>
      <c r="AY24" s="141"/>
      <c r="AZ24" s="141"/>
      <c r="BA24" s="141"/>
      <c r="BB24" s="141"/>
      <c r="BC24" s="141"/>
      <c r="BD24" s="141"/>
      <c r="BE24" s="141"/>
      <c r="BF24" s="141"/>
      <c r="BG24" s="141"/>
      <c r="BH24" s="141"/>
      <c r="BI24" s="141">
        <f t="shared" si="1"/>
        <v>0</v>
      </c>
      <c r="BJ24" s="145">
        <f t="shared" si="1"/>
        <v>0</v>
      </c>
      <c r="BK24" s="143"/>
      <c r="BL24" s="143"/>
      <c r="BM24" s="143"/>
      <c r="BN24" s="143"/>
      <c r="BO24" s="143"/>
      <c r="BP24" s="143"/>
      <c r="BQ24" s="340"/>
    </row>
    <row r="25" spans="1:71" ht="177.75" customHeight="1" x14ac:dyDescent="0.25">
      <c r="A25" s="338" t="s">
        <v>292</v>
      </c>
      <c r="B25" s="140">
        <v>100</v>
      </c>
      <c r="C25" s="140"/>
      <c r="D25" s="140">
        <v>230</v>
      </c>
      <c r="E25" s="140"/>
      <c r="F25" s="140">
        <v>230</v>
      </c>
      <c r="G25" s="140"/>
      <c r="H25" s="140"/>
      <c r="I25" s="140"/>
      <c r="J25" s="140"/>
      <c r="K25" s="140"/>
      <c r="L25" s="140"/>
      <c r="M25" s="140"/>
      <c r="N25" s="140"/>
      <c r="O25" s="141"/>
      <c r="P25" s="140"/>
      <c r="Q25" s="141"/>
      <c r="R25" s="140"/>
      <c r="S25" s="141"/>
      <c r="T25" s="140"/>
      <c r="U25" s="141"/>
      <c r="V25" s="140"/>
      <c r="W25" s="141"/>
      <c r="X25" s="141"/>
      <c r="Y25" s="140"/>
      <c r="Z25" s="141">
        <f t="shared" si="0"/>
        <v>560</v>
      </c>
      <c r="AA25" s="267">
        <f t="shared" si="0"/>
        <v>0</v>
      </c>
      <c r="AB25" s="265" t="s">
        <v>278</v>
      </c>
      <c r="AC25" s="140">
        <v>0</v>
      </c>
      <c r="AD25" s="140">
        <v>0</v>
      </c>
      <c r="AE25" s="140">
        <v>0</v>
      </c>
      <c r="AF25" s="140">
        <v>81</v>
      </c>
      <c r="AG25" s="140">
        <v>109</v>
      </c>
      <c r="AH25" s="265">
        <v>2</v>
      </c>
      <c r="AJ25" s="140" t="s">
        <v>292</v>
      </c>
      <c r="AK25" s="140">
        <v>221</v>
      </c>
      <c r="AL25" s="140"/>
      <c r="AM25" s="140">
        <v>300</v>
      </c>
      <c r="AN25" s="140"/>
      <c r="AO25" s="140">
        <v>378</v>
      </c>
      <c r="AP25" s="140"/>
      <c r="AQ25" s="140">
        <f>+AQ11</f>
        <v>272</v>
      </c>
      <c r="AR25" s="140"/>
      <c r="AS25" s="140">
        <f>+AS11</f>
        <v>430</v>
      </c>
      <c r="AT25" s="140"/>
      <c r="AU25" s="140">
        <f>+AU11</f>
        <v>281</v>
      </c>
      <c r="AV25" s="140"/>
      <c r="AW25" s="140">
        <f>+AW11</f>
        <v>348</v>
      </c>
      <c r="AX25" s="141"/>
      <c r="AY25" s="140">
        <f>+AY11</f>
        <v>425</v>
      </c>
      <c r="AZ25" s="141"/>
      <c r="BA25" s="140">
        <f>+BA11</f>
        <v>361</v>
      </c>
      <c r="BB25" s="141"/>
      <c r="BC25" s="140">
        <f>+BC11</f>
        <v>376</v>
      </c>
      <c r="BD25" s="141"/>
      <c r="BE25" s="140">
        <f>+BE11</f>
        <v>451</v>
      </c>
      <c r="BF25" s="141"/>
      <c r="BG25" s="140">
        <f>+BG11</f>
        <v>543</v>
      </c>
      <c r="BH25" s="141"/>
      <c r="BI25" s="141">
        <f t="shared" si="1"/>
        <v>4386</v>
      </c>
      <c r="BJ25" s="267">
        <f t="shared" si="1"/>
        <v>0</v>
      </c>
      <c r="BK25" s="265" t="str">
        <f t="shared" ref="BK25:BQ25" si="2">+BK11</f>
        <v xml:space="preserve">Se atendieron 317 mujeres de las cuales:
*3 Indígenas
*6 Afrodescendientes
*0 Raizales, palenqueras 
*0 Rrom
*17 Lesbiana, Bisexuales, Gay
*12 Transgeneristas
*0 Rural y/o campesina
*6 Condición discapacidad
*11 Víctimas conflicto armado
</v>
      </c>
      <c r="BL25" s="265">
        <f t="shared" si="2"/>
        <v>0</v>
      </c>
      <c r="BM25" s="265">
        <f t="shared" si="2"/>
        <v>0</v>
      </c>
      <c r="BN25" s="265">
        <f t="shared" si="2"/>
        <v>0</v>
      </c>
      <c r="BO25" s="265">
        <f t="shared" si="2"/>
        <v>144</v>
      </c>
      <c r="BP25" s="265">
        <f t="shared" si="2"/>
        <v>168</v>
      </c>
      <c r="BQ25" s="339">
        <f t="shared" si="2"/>
        <v>3</v>
      </c>
      <c r="BR25"/>
      <c r="BS25" s="366" t="s">
        <v>563</v>
      </c>
    </row>
    <row r="26" spans="1:71" x14ac:dyDescent="0.25">
      <c r="A26" s="338" t="s">
        <v>293</v>
      </c>
      <c r="B26" s="140"/>
      <c r="C26" s="140"/>
      <c r="D26" s="140"/>
      <c r="E26" s="140"/>
      <c r="F26" s="140"/>
      <c r="G26" s="140"/>
      <c r="H26" s="140"/>
      <c r="I26" s="140"/>
      <c r="J26" s="140"/>
      <c r="K26" s="140"/>
      <c r="L26" s="140"/>
      <c r="M26" s="140"/>
      <c r="N26" s="140"/>
      <c r="O26" s="141"/>
      <c r="P26" s="141"/>
      <c r="Q26" s="141"/>
      <c r="R26" s="141"/>
      <c r="S26" s="141"/>
      <c r="T26" s="141"/>
      <c r="U26" s="141"/>
      <c r="V26" s="141"/>
      <c r="W26" s="141"/>
      <c r="X26" s="141"/>
      <c r="Y26" s="141"/>
      <c r="Z26" s="141">
        <f t="shared" si="0"/>
        <v>0</v>
      </c>
      <c r="AA26" s="145">
        <f t="shared" si="0"/>
        <v>0</v>
      </c>
      <c r="AB26" s="143"/>
      <c r="AC26" s="143"/>
      <c r="AD26" s="143"/>
      <c r="AE26" s="143"/>
      <c r="AF26" s="143"/>
      <c r="AG26" s="143"/>
      <c r="AH26" s="143"/>
      <c r="AJ26" s="140" t="s">
        <v>293</v>
      </c>
      <c r="AK26" s="140"/>
      <c r="AL26" s="140"/>
      <c r="AM26" s="140"/>
      <c r="AN26" s="140"/>
      <c r="AO26" s="140"/>
      <c r="AP26" s="140"/>
      <c r="AQ26" s="140"/>
      <c r="AR26" s="140"/>
      <c r="AS26" s="140"/>
      <c r="AT26" s="140"/>
      <c r="AU26" s="140"/>
      <c r="AV26" s="140"/>
      <c r="AW26" s="140"/>
      <c r="AX26" s="141"/>
      <c r="AY26" s="141"/>
      <c r="AZ26" s="141"/>
      <c r="BA26" s="141"/>
      <c r="BB26" s="141"/>
      <c r="BC26" s="141"/>
      <c r="BD26" s="141"/>
      <c r="BE26" s="141"/>
      <c r="BF26" s="141"/>
      <c r="BG26" s="141"/>
      <c r="BH26" s="141"/>
      <c r="BI26" s="141">
        <f t="shared" si="1"/>
        <v>0</v>
      </c>
      <c r="BJ26" s="145">
        <f t="shared" si="1"/>
        <v>0</v>
      </c>
      <c r="BK26" s="143"/>
      <c r="BL26" s="143"/>
      <c r="BM26" s="143"/>
      <c r="BN26" s="143"/>
      <c r="BO26" s="143"/>
      <c r="BP26" s="143"/>
      <c r="BQ26" s="340"/>
    </row>
    <row r="27" spans="1:71" x14ac:dyDescent="0.25">
      <c r="A27" s="338" t="s">
        <v>294</v>
      </c>
      <c r="B27" s="140"/>
      <c r="C27" s="140"/>
      <c r="D27" s="140"/>
      <c r="E27" s="140"/>
      <c r="F27" s="140"/>
      <c r="G27" s="140"/>
      <c r="H27" s="140"/>
      <c r="I27" s="140"/>
      <c r="J27" s="140"/>
      <c r="K27" s="140"/>
      <c r="L27" s="140"/>
      <c r="M27" s="140"/>
      <c r="N27" s="140"/>
      <c r="O27" s="141"/>
      <c r="P27" s="141"/>
      <c r="Q27" s="141"/>
      <c r="R27" s="141"/>
      <c r="S27" s="141"/>
      <c r="T27" s="141"/>
      <c r="U27" s="141"/>
      <c r="V27" s="141"/>
      <c r="W27" s="141"/>
      <c r="X27" s="141"/>
      <c r="Y27" s="141"/>
      <c r="Z27" s="141">
        <f t="shared" si="0"/>
        <v>0</v>
      </c>
      <c r="AA27" s="145">
        <f t="shared" si="0"/>
        <v>0</v>
      </c>
      <c r="AB27" s="143"/>
      <c r="AC27" s="143"/>
      <c r="AD27" s="143"/>
      <c r="AE27" s="143"/>
      <c r="AF27" s="143"/>
      <c r="AG27" s="143"/>
      <c r="AH27" s="143"/>
      <c r="AJ27" s="140" t="s">
        <v>294</v>
      </c>
      <c r="AK27" s="140"/>
      <c r="AL27" s="140"/>
      <c r="AM27" s="140"/>
      <c r="AN27" s="140"/>
      <c r="AO27" s="140"/>
      <c r="AP27" s="140"/>
      <c r="AQ27" s="140"/>
      <c r="AR27" s="140"/>
      <c r="AS27" s="140"/>
      <c r="AT27" s="140"/>
      <c r="AU27" s="140"/>
      <c r="AV27" s="140"/>
      <c r="AW27" s="140"/>
      <c r="AX27" s="141"/>
      <c r="AY27" s="141"/>
      <c r="AZ27" s="141"/>
      <c r="BA27" s="141"/>
      <c r="BB27" s="141"/>
      <c r="BC27" s="141"/>
      <c r="BD27" s="141"/>
      <c r="BE27" s="141"/>
      <c r="BF27" s="141"/>
      <c r="BG27" s="141"/>
      <c r="BH27" s="141"/>
      <c r="BI27" s="141">
        <f t="shared" si="1"/>
        <v>0</v>
      </c>
      <c r="BJ27" s="145">
        <f t="shared" si="1"/>
        <v>0</v>
      </c>
      <c r="BK27" s="143"/>
      <c r="BL27" s="143"/>
      <c r="BM27" s="143"/>
      <c r="BN27" s="143"/>
      <c r="BO27" s="143"/>
      <c r="BP27" s="143"/>
      <c r="BQ27" s="340"/>
    </row>
    <row r="28" spans="1:71" x14ac:dyDescent="0.25">
      <c r="A28" s="338" t="s">
        <v>295</v>
      </c>
      <c r="B28" s="140"/>
      <c r="C28" s="140"/>
      <c r="D28" s="140"/>
      <c r="E28" s="140"/>
      <c r="F28" s="140"/>
      <c r="G28" s="140"/>
      <c r="H28" s="140"/>
      <c r="I28" s="140"/>
      <c r="J28" s="140"/>
      <c r="K28" s="140"/>
      <c r="L28" s="140"/>
      <c r="M28" s="140"/>
      <c r="N28" s="140"/>
      <c r="O28" s="141"/>
      <c r="P28" s="141"/>
      <c r="Q28" s="141"/>
      <c r="R28" s="141"/>
      <c r="S28" s="141"/>
      <c r="T28" s="141"/>
      <c r="U28" s="141"/>
      <c r="V28" s="141"/>
      <c r="W28" s="141"/>
      <c r="X28" s="141"/>
      <c r="Y28" s="141"/>
      <c r="Z28" s="141">
        <f t="shared" si="0"/>
        <v>0</v>
      </c>
      <c r="AA28" s="145">
        <f t="shared" si="0"/>
        <v>0</v>
      </c>
      <c r="AB28" s="143"/>
      <c r="AC28" s="143"/>
      <c r="AD28" s="143"/>
      <c r="AE28" s="143"/>
      <c r="AF28" s="143"/>
      <c r="AG28" s="143"/>
      <c r="AH28" s="143"/>
      <c r="AJ28" s="140" t="s">
        <v>295</v>
      </c>
      <c r="AK28" s="140"/>
      <c r="AL28" s="140"/>
      <c r="AM28" s="140"/>
      <c r="AN28" s="140"/>
      <c r="AO28" s="140"/>
      <c r="AP28" s="140"/>
      <c r="AQ28" s="140"/>
      <c r="AR28" s="140"/>
      <c r="AS28" s="140"/>
      <c r="AT28" s="140"/>
      <c r="AU28" s="140"/>
      <c r="AV28" s="140"/>
      <c r="AW28" s="140"/>
      <c r="AX28" s="141"/>
      <c r="AY28" s="141"/>
      <c r="AZ28" s="141"/>
      <c r="BA28" s="141"/>
      <c r="BB28" s="141"/>
      <c r="BC28" s="141"/>
      <c r="BD28" s="141"/>
      <c r="BE28" s="141"/>
      <c r="BF28" s="141"/>
      <c r="BG28" s="141"/>
      <c r="BH28" s="141"/>
      <c r="BI28" s="141">
        <f t="shared" si="1"/>
        <v>0</v>
      </c>
      <c r="BJ28" s="145">
        <f t="shared" si="1"/>
        <v>0</v>
      </c>
      <c r="BK28" s="143"/>
      <c r="BL28" s="143"/>
      <c r="BM28" s="143"/>
      <c r="BN28" s="143"/>
      <c r="BO28" s="143"/>
      <c r="BP28" s="143"/>
      <c r="BQ28" s="340"/>
    </row>
    <row r="29" spans="1:71" x14ac:dyDescent="0.25">
      <c r="A29" s="338" t="s">
        <v>296</v>
      </c>
      <c r="B29" s="140"/>
      <c r="C29" s="140"/>
      <c r="D29" s="140"/>
      <c r="E29" s="140"/>
      <c r="F29" s="140"/>
      <c r="G29" s="140"/>
      <c r="H29" s="140"/>
      <c r="I29" s="140"/>
      <c r="J29" s="140"/>
      <c r="K29" s="140"/>
      <c r="L29" s="140"/>
      <c r="M29" s="140"/>
      <c r="N29" s="140"/>
      <c r="O29" s="141"/>
      <c r="P29" s="141"/>
      <c r="Q29" s="141"/>
      <c r="R29" s="141"/>
      <c r="S29" s="141"/>
      <c r="T29" s="141"/>
      <c r="U29" s="141"/>
      <c r="V29" s="141"/>
      <c r="W29" s="141"/>
      <c r="X29" s="141"/>
      <c r="Y29" s="141"/>
      <c r="Z29" s="141">
        <f t="shared" si="0"/>
        <v>0</v>
      </c>
      <c r="AA29" s="145">
        <f t="shared" si="0"/>
        <v>0</v>
      </c>
      <c r="AB29" s="143"/>
      <c r="AC29" s="143"/>
      <c r="AD29" s="143"/>
      <c r="AE29" s="143"/>
      <c r="AF29" s="143"/>
      <c r="AG29" s="143"/>
      <c r="AH29" s="143"/>
      <c r="AJ29" s="140" t="s">
        <v>296</v>
      </c>
      <c r="AK29" s="140"/>
      <c r="AL29" s="140"/>
      <c r="AM29" s="140"/>
      <c r="AN29" s="140"/>
      <c r="AO29" s="140"/>
      <c r="AP29" s="140"/>
      <c r="AQ29" s="140"/>
      <c r="AR29" s="140"/>
      <c r="AS29" s="140"/>
      <c r="AT29" s="140"/>
      <c r="AU29" s="140"/>
      <c r="AV29" s="140"/>
      <c r="AW29" s="140"/>
      <c r="AX29" s="141"/>
      <c r="AY29" s="141"/>
      <c r="AZ29" s="141"/>
      <c r="BA29" s="141"/>
      <c r="BB29" s="141"/>
      <c r="BC29" s="141"/>
      <c r="BD29" s="141"/>
      <c r="BE29" s="141"/>
      <c r="BF29" s="141"/>
      <c r="BG29" s="141"/>
      <c r="BH29" s="141"/>
      <c r="BI29" s="141">
        <f t="shared" si="1"/>
        <v>0</v>
      </c>
      <c r="BJ29" s="145">
        <f t="shared" si="1"/>
        <v>0</v>
      </c>
      <c r="BK29" s="143"/>
      <c r="BL29" s="143"/>
      <c r="BM29" s="143"/>
      <c r="BN29" s="143"/>
      <c r="BO29" s="143"/>
      <c r="BP29" s="143"/>
      <c r="BQ29" s="340"/>
    </row>
    <row r="30" spans="1:71" x14ac:dyDescent="0.25">
      <c r="A30" s="338" t="s">
        <v>297</v>
      </c>
      <c r="B30" s="140"/>
      <c r="C30" s="140"/>
      <c r="D30" s="140"/>
      <c r="E30" s="140"/>
      <c r="F30" s="140"/>
      <c r="G30" s="140"/>
      <c r="H30" s="140"/>
      <c r="I30" s="140"/>
      <c r="J30" s="140"/>
      <c r="K30" s="140"/>
      <c r="L30" s="140"/>
      <c r="M30" s="140"/>
      <c r="N30" s="140"/>
      <c r="O30" s="141"/>
      <c r="P30" s="141"/>
      <c r="Q30" s="141"/>
      <c r="R30" s="141"/>
      <c r="S30" s="141"/>
      <c r="T30" s="141"/>
      <c r="U30" s="141"/>
      <c r="V30" s="141"/>
      <c r="W30" s="141"/>
      <c r="X30" s="141"/>
      <c r="Y30" s="141"/>
      <c r="Z30" s="141">
        <f t="shared" si="0"/>
        <v>0</v>
      </c>
      <c r="AA30" s="145">
        <f t="shared" si="0"/>
        <v>0</v>
      </c>
      <c r="AB30" s="143"/>
      <c r="AC30" s="143"/>
      <c r="AD30" s="143"/>
      <c r="AE30" s="143"/>
      <c r="AF30" s="143"/>
      <c r="AG30" s="143"/>
      <c r="AH30" s="143"/>
      <c r="AJ30" s="140" t="s">
        <v>297</v>
      </c>
      <c r="AK30" s="140"/>
      <c r="AL30" s="140"/>
      <c r="AM30" s="140"/>
      <c r="AN30" s="140"/>
      <c r="AO30" s="140"/>
      <c r="AP30" s="140"/>
      <c r="AQ30" s="140"/>
      <c r="AR30" s="140"/>
      <c r="AS30" s="140"/>
      <c r="AT30" s="140"/>
      <c r="AU30" s="140"/>
      <c r="AV30" s="140"/>
      <c r="AW30" s="140"/>
      <c r="AX30" s="141"/>
      <c r="AY30" s="141"/>
      <c r="AZ30" s="141"/>
      <c r="BA30" s="141"/>
      <c r="BB30" s="141"/>
      <c r="BC30" s="141"/>
      <c r="BD30" s="141"/>
      <c r="BE30" s="141"/>
      <c r="BF30" s="141"/>
      <c r="BG30" s="141"/>
      <c r="BH30" s="141"/>
      <c r="BI30" s="141">
        <f t="shared" si="1"/>
        <v>0</v>
      </c>
      <c r="BJ30" s="145">
        <f t="shared" si="1"/>
        <v>0</v>
      </c>
      <c r="BK30" s="143"/>
      <c r="BL30" s="143"/>
      <c r="BM30" s="143"/>
      <c r="BN30" s="143"/>
      <c r="BO30" s="143"/>
      <c r="BP30" s="143"/>
      <c r="BQ30" s="340"/>
    </row>
    <row r="31" spans="1:71" x14ac:dyDescent="0.25">
      <c r="A31" s="338" t="s">
        <v>298</v>
      </c>
      <c r="B31" s="140"/>
      <c r="C31" s="140"/>
      <c r="D31" s="140"/>
      <c r="E31" s="140"/>
      <c r="F31" s="140"/>
      <c r="G31" s="140"/>
      <c r="H31" s="140"/>
      <c r="I31" s="140"/>
      <c r="J31" s="140"/>
      <c r="K31" s="140"/>
      <c r="L31" s="140"/>
      <c r="M31" s="140"/>
      <c r="N31" s="140"/>
      <c r="O31" s="141"/>
      <c r="P31" s="141"/>
      <c r="Q31" s="141"/>
      <c r="R31" s="141"/>
      <c r="S31" s="141"/>
      <c r="T31" s="141"/>
      <c r="U31" s="141"/>
      <c r="V31" s="141"/>
      <c r="W31" s="141"/>
      <c r="X31" s="141"/>
      <c r="Y31" s="141"/>
      <c r="Z31" s="141">
        <f t="shared" si="0"/>
        <v>0</v>
      </c>
      <c r="AA31" s="145">
        <f t="shared" si="0"/>
        <v>0</v>
      </c>
      <c r="AB31" s="143"/>
      <c r="AC31" s="143"/>
      <c r="AD31" s="143"/>
      <c r="AE31" s="143"/>
      <c r="AF31" s="143"/>
      <c r="AG31" s="143"/>
      <c r="AH31" s="143"/>
      <c r="AJ31" s="140" t="s">
        <v>298</v>
      </c>
      <c r="AK31" s="140"/>
      <c r="AL31" s="140"/>
      <c r="AM31" s="140"/>
      <c r="AN31" s="140"/>
      <c r="AO31" s="140"/>
      <c r="AP31" s="140"/>
      <c r="AQ31" s="140"/>
      <c r="AR31" s="140"/>
      <c r="AS31" s="140"/>
      <c r="AT31" s="140"/>
      <c r="AU31" s="140"/>
      <c r="AV31" s="140"/>
      <c r="AW31" s="140"/>
      <c r="AX31" s="141"/>
      <c r="AY31" s="141"/>
      <c r="AZ31" s="141"/>
      <c r="BA31" s="141"/>
      <c r="BB31" s="141"/>
      <c r="BC31" s="141"/>
      <c r="BD31" s="141"/>
      <c r="BE31" s="141"/>
      <c r="BF31" s="141"/>
      <c r="BG31" s="141"/>
      <c r="BH31" s="141"/>
      <c r="BI31" s="141">
        <f t="shared" si="1"/>
        <v>0</v>
      </c>
      <c r="BJ31" s="145">
        <f t="shared" si="1"/>
        <v>0</v>
      </c>
      <c r="BK31" s="143"/>
      <c r="BL31" s="143"/>
      <c r="BM31" s="143"/>
      <c r="BN31" s="143"/>
      <c r="BO31" s="143"/>
      <c r="BP31" s="143"/>
      <c r="BQ31" s="340"/>
    </row>
    <row r="32" spans="1:71" x14ac:dyDescent="0.25">
      <c r="A32" s="341" t="s">
        <v>299</v>
      </c>
      <c r="B32" s="142">
        <f>SUM(B12:B31)</f>
        <v>100</v>
      </c>
      <c r="C32" s="142">
        <f t="shared" ref="C32:AA32" si="3">SUM(C12:C31)</f>
        <v>0</v>
      </c>
      <c r="D32" s="142">
        <f t="shared" si="3"/>
        <v>230</v>
      </c>
      <c r="E32" s="142">
        <f t="shared" si="3"/>
        <v>0</v>
      </c>
      <c r="F32" s="142">
        <f t="shared" si="3"/>
        <v>230</v>
      </c>
      <c r="G32" s="142">
        <f t="shared" si="3"/>
        <v>0</v>
      </c>
      <c r="H32" s="142">
        <f t="shared" si="3"/>
        <v>0</v>
      </c>
      <c r="I32" s="142">
        <f t="shared" si="3"/>
        <v>0</v>
      </c>
      <c r="J32" s="142">
        <f t="shared" si="3"/>
        <v>0</v>
      </c>
      <c r="K32" s="142">
        <f t="shared" si="3"/>
        <v>0</v>
      </c>
      <c r="L32" s="142">
        <f t="shared" si="3"/>
        <v>0</v>
      </c>
      <c r="M32" s="142">
        <f t="shared" si="3"/>
        <v>0</v>
      </c>
      <c r="N32" s="142">
        <f t="shared" si="3"/>
        <v>0</v>
      </c>
      <c r="O32" s="142">
        <f t="shared" si="3"/>
        <v>0</v>
      </c>
      <c r="P32" s="142">
        <f t="shared" si="3"/>
        <v>0</v>
      </c>
      <c r="Q32" s="142">
        <f t="shared" si="3"/>
        <v>0</v>
      </c>
      <c r="R32" s="142">
        <f t="shared" si="3"/>
        <v>0</v>
      </c>
      <c r="S32" s="142">
        <f t="shared" si="3"/>
        <v>0</v>
      </c>
      <c r="T32" s="142">
        <f t="shared" si="3"/>
        <v>0</v>
      </c>
      <c r="U32" s="142">
        <f t="shared" si="3"/>
        <v>0</v>
      </c>
      <c r="V32" s="142">
        <f t="shared" si="3"/>
        <v>0</v>
      </c>
      <c r="W32" s="142">
        <f t="shared" si="3"/>
        <v>0</v>
      </c>
      <c r="X32" s="142">
        <f t="shared" si="3"/>
        <v>0</v>
      </c>
      <c r="Y32" s="142">
        <f t="shared" si="3"/>
        <v>0</v>
      </c>
      <c r="Z32" s="142">
        <f t="shared" si="3"/>
        <v>560</v>
      </c>
      <c r="AA32" s="142">
        <f t="shared" si="3"/>
        <v>0</v>
      </c>
      <c r="AB32" s="142">
        <v>192</v>
      </c>
      <c r="AC32" s="142">
        <f t="shared" ref="AC32:AI32" si="4">SUM(AC12:AC31)</f>
        <v>0</v>
      </c>
      <c r="AD32" s="142">
        <f t="shared" si="4"/>
        <v>0</v>
      </c>
      <c r="AE32" s="142">
        <f t="shared" si="4"/>
        <v>0</v>
      </c>
      <c r="AF32" s="142">
        <f t="shared" si="4"/>
        <v>81</v>
      </c>
      <c r="AG32" s="142">
        <f t="shared" si="4"/>
        <v>109</v>
      </c>
      <c r="AH32" s="142">
        <f t="shared" si="4"/>
        <v>2</v>
      </c>
      <c r="AI32" s="142">
        <f t="shared" si="4"/>
        <v>0</v>
      </c>
      <c r="AJ32" s="144" t="s">
        <v>299</v>
      </c>
      <c r="AK32" s="142">
        <f>SUM(AK12:AK31)</f>
        <v>221</v>
      </c>
      <c r="AL32" s="142">
        <f t="shared" ref="AL32:BI32" si="5">SUM(AL12:AL31)</f>
        <v>0</v>
      </c>
      <c r="AM32" s="142">
        <f t="shared" si="5"/>
        <v>300</v>
      </c>
      <c r="AN32" s="142">
        <f t="shared" si="5"/>
        <v>0</v>
      </c>
      <c r="AO32" s="142">
        <f t="shared" si="5"/>
        <v>378</v>
      </c>
      <c r="AP32" s="142">
        <f t="shared" si="5"/>
        <v>0</v>
      </c>
      <c r="AQ32" s="142">
        <f t="shared" si="5"/>
        <v>272</v>
      </c>
      <c r="AR32" s="142">
        <f t="shared" si="5"/>
        <v>0</v>
      </c>
      <c r="AS32" s="142">
        <f t="shared" si="5"/>
        <v>430</v>
      </c>
      <c r="AT32" s="142">
        <f t="shared" si="5"/>
        <v>0</v>
      </c>
      <c r="AU32" s="142">
        <f t="shared" si="5"/>
        <v>281</v>
      </c>
      <c r="AV32" s="142">
        <f t="shared" si="5"/>
        <v>0</v>
      </c>
      <c r="AW32" s="142">
        <f t="shared" si="5"/>
        <v>348</v>
      </c>
      <c r="AX32" s="142">
        <f t="shared" si="5"/>
        <v>0</v>
      </c>
      <c r="AY32" s="142">
        <f t="shared" si="5"/>
        <v>425</v>
      </c>
      <c r="AZ32" s="142">
        <f t="shared" si="5"/>
        <v>0</v>
      </c>
      <c r="BA32" s="142">
        <f t="shared" si="5"/>
        <v>361</v>
      </c>
      <c r="BB32" s="142">
        <f t="shared" si="5"/>
        <v>0</v>
      </c>
      <c r="BC32" s="142">
        <f t="shared" si="5"/>
        <v>376</v>
      </c>
      <c r="BD32" s="142">
        <f t="shared" si="5"/>
        <v>0</v>
      </c>
      <c r="BE32" s="142">
        <f t="shared" si="5"/>
        <v>451</v>
      </c>
      <c r="BF32" s="142">
        <f t="shared" si="5"/>
        <v>0</v>
      </c>
      <c r="BG32" s="142">
        <f t="shared" si="5"/>
        <v>543</v>
      </c>
      <c r="BH32" s="142">
        <f t="shared" si="5"/>
        <v>0</v>
      </c>
      <c r="BI32" s="142">
        <f t="shared" si="5"/>
        <v>4386</v>
      </c>
      <c r="BJ32" s="142">
        <f>SUM(BJ12:BJ31)</f>
        <v>0</v>
      </c>
      <c r="BK32" s="142">
        <v>192</v>
      </c>
      <c r="BL32" s="142">
        <f t="shared" ref="BL32:BQ32" si="6">SUM(BL12:BL31)</f>
        <v>0</v>
      </c>
      <c r="BM32" s="142">
        <f t="shared" si="6"/>
        <v>0</v>
      </c>
      <c r="BN32" s="142">
        <f t="shared" si="6"/>
        <v>0</v>
      </c>
      <c r="BO32" s="142">
        <f t="shared" si="6"/>
        <v>144</v>
      </c>
      <c r="BP32" s="142">
        <f t="shared" si="6"/>
        <v>168</v>
      </c>
      <c r="BQ32" s="342">
        <f t="shared" si="6"/>
        <v>3</v>
      </c>
    </row>
    <row r="33" spans="1:69" x14ac:dyDescent="0.25">
      <c r="A33" s="325"/>
      <c r="BQ33" s="326"/>
    </row>
    <row r="34" spans="1:69" x14ac:dyDescent="0.25">
      <c r="A34" s="325"/>
      <c r="BQ34" s="326"/>
    </row>
    <row r="35" spans="1:69" ht="28.5" x14ac:dyDescent="0.25">
      <c r="A35" s="332" t="s">
        <v>262</v>
      </c>
      <c r="B35" s="917" t="s">
        <v>561</v>
      </c>
      <c r="C35" s="917"/>
      <c r="D35" s="917"/>
      <c r="E35" s="917"/>
      <c r="F35" s="917"/>
      <c r="G35" s="917"/>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7"/>
      <c r="AY35" s="917"/>
      <c r="AZ35" s="917"/>
      <c r="BA35" s="917"/>
      <c r="BB35" s="917"/>
      <c r="BC35" s="917"/>
      <c r="BD35" s="917"/>
      <c r="BE35" s="917"/>
      <c r="BF35" s="917"/>
      <c r="BG35" s="917"/>
      <c r="BH35" s="917"/>
      <c r="BI35" s="917"/>
      <c r="BJ35" s="917"/>
      <c r="BK35" s="917"/>
      <c r="BL35" s="917"/>
      <c r="BM35" s="917"/>
      <c r="BN35" s="917"/>
      <c r="BO35" s="917"/>
      <c r="BP35" s="917"/>
      <c r="BQ35" s="918"/>
    </row>
    <row r="36" spans="1:69" ht="29.25" customHeight="1" x14ac:dyDescent="0.25">
      <c r="A36" s="333" t="s">
        <v>263</v>
      </c>
      <c r="B36" s="919" t="s">
        <v>300</v>
      </c>
      <c r="C36" s="920"/>
      <c r="D36" s="920"/>
      <c r="E36" s="920"/>
      <c r="F36" s="920"/>
      <c r="G36" s="920"/>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0"/>
      <c r="AY36" s="920"/>
      <c r="AZ36" s="920"/>
      <c r="BA36" s="920"/>
      <c r="BB36" s="920"/>
      <c r="BC36" s="920"/>
      <c r="BD36" s="920"/>
      <c r="BE36" s="920"/>
      <c r="BF36" s="920"/>
      <c r="BG36" s="920"/>
      <c r="BH36" s="920"/>
      <c r="BI36" s="920"/>
      <c r="BJ36" s="920"/>
      <c r="BK36" s="920"/>
      <c r="BL36" s="920"/>
      <c r="BM36" s="920"/>
      <c r="BN36" s="920"/>
      <c r="BO36" s="920"/>
      <c r="BP36" s="920"/>
      <c r="BQ36" s="921"/>
    </row>
    <row r="37" spans="1:69" ht="6" customHeight="1" x14ac:dyDescent="0.25">
      <c r="A37" s="334"/>
      <c r="B37" s="335"/>
      <c r="C37" s="335"/>
      <c r="D37" s="335"/>
      <c r="E37" s="335"/>
      <c r="F37" s="335"/>
      <c r="G37" s="335"/>
      <c r="H37" s="335"/>
      <c r="I37" s="335"/>
      <c r="J37" s="335"/>
      <c r="K37" s="335"/>
      <c r="L37" s="335"/>
      <c r="M37" s="335"/>
      <c r="N37" s="335"/>
      <c r="O37" s="336"/>
      <c r="P37" s="336"/>
      <c r="Q37" s="336"/>
      <c r="R37" s="336"/>
      <c r="S37" s="336"/>
      <c r="T37" s="336"/>
      <c r="U37" s="336"/>
      <c r="V37" s="336"/>
      <c r="W37" s="336"/>
      <c r="X37" s="336"/>
      <c r="Y37" s="336"/>
      <c r="Z37" s="336"/>
      <c r="AA37" s="336"/>
      <c r="AB37" s="336"/>
      <c r="AC37" s="336"/>
      <c r="AD37" s="336"/>
      <c r="AE37" s="336"/>
      <c r="AF37" s="336"/>
      <c r="AG37" s="336"/>
      <c r="AH37" s="336"/>
      <c r="AJ37" s="335"/>
      <c r="AK37" s="336"/>
      <c r="AL37" s="336"/>
      <c r="AM37" s="336"/>
      <c r="AN37" s="336"/>
      <c r="AO37" s="336"/>
      <c r="AP37" s="336"/>
      <c r="AQ37" s="336"/>
      <c r="AR37" s="336"/>
      <c r="AS37" s="336"/>
      <c r="AT37" s="336"/>
      <c r="AU37" s="336"/>
      <c r="AV37" s="336"/>
      <c r="BQ37" s="326"/>
    </row>
    <row r="38" spans="1:69" ht="30" customHeight="1" x14ac:dyDescent="0.25">
      <c r="A38" s="913" t="s">
        <v>265</v>
      </c>
      <c r="B38" s="915" t="s">
        <v>30</v>
      </c>
      <c r="C38" s="916"/>
      <c r="D38" s="915" t="s">
        <v>31</v>
      </c>
      <c r="E38" s="916"/>
      <c r="F38" s="915" t="s">
        <v>32</v>
      </c>
      <c r="G38" s="916"/>
      <c r="H38" s="915" t="s">
        <v>33</v>
      </c>
      <c r="I38" s="916"/>
      <c r="J38" s="915" t="s">
        <v>34</v>
      </c>
      <c r="K38" s="916"/>
      <c r="L38" s="915" t="s">
        <v>35</v>
      </c>
      <c r="M38" s="916"/>
      <c r="N38" s="915" t="s">
        <v>8</v>
      </c>
      <c r="O38" s="916"/>
      <c r="P38" s="915" t="s">
        <v>36</v>
      </c>
      <c r="Q38" s="916"/>
      <c r="R38" s="915" t="s">
        <v>37</v>
      </c>
      <c r="S38" s="916"/>
      <c r="T38" s="915" t="s">
        <v>38</v>
      </c>
      <c r="U38" s="916"/>
      <c r="V38" s="915" t="s">
        <v>39</v>
      </c>
      <c r="W38" s="916"/>
      <c r="X38" s="915" t="s">
        <v>40</v>
      </c>
      <c r="Y38" s="916"/>
      <c r="Z38" s="915" t="s">
        <v>266</v>
      </c>
      <c r="AA38" s="916"/>
      <c r="AB38" s="922" t="s">
        <v>267</v>
      </c>
      <c r="AC38" s="915" t="s">
        <v>268</v>
      </c>
      <c r="AD38" s="924"/>
      <c r="AE38" s="924"/>
      <c r="AF38" s="924"/>
      <c r="AG38" s="924"/>
      <c r="AH38" s="916"/>
      <c r="AJ38" s="922" t="s">
        <v>265</v>
      </c>
      <c r="AK38" s="915" t="s">
        <v>30</v>
      </c>
      <c r="AL38" s="916"/>
      <c r="AM38" s="915" t="s">
        <v>31</v>
      </c>
      <c r="AN38" s="916"/>
      <c r="AO38" s="915" t="s">
        <v>32</v>
      </c>
      <c r="AP38" s="916"/>
      <c r="AQ38" s="915" t="s">
        <v>33</v>
      </c>
      <c r="AR38" s="916"/>
      <c r="AS38" s="915" t="s">
        <v>34</v>
      </c>
      <c r="AT38" s="916"/>
      <c r="AU38" s="915" t="s">
        <v>35</v>
      </c>
      <c r="AV38" s="916"/>
      <c r="AW38" s="915" t="s">
        <v>8</v>
      </c>
      <c r="AX38" s="916"/>
      <c r="AY38" s="915" t="s">
        <v>36</v>
      </c>
      <c r="AZ38" s="916"/>
      <c r="BA38" s="915" t="s">
        <v>37</v>
      </c>
      <c r="BB38" s="916"/>
      <c r="BC38" s="915" t="s">
        <v>38</v>
      </c>
      <c r="BD38" s="916"/>
      <c r="BE38" s="915" t="s">
        <v>39</v>
      </c>
      <c r="BF38" s="916"/>
      <c r="BG38" s="915" t="s">
        <v>40</v>
      </c>
      <c r="BH38" s="916"/>
      <c r="BI38" s="915" t="s">
        <v>266</v>
      </c>
      <c r="BJ38" s="916"/>
      <c r="BK38" s="922" t="s">
        <v>267</v>
      </c>
      <c r="BL38" s="915" t="s">
        <v>268</v>
      </c>
      <c r="BM38" s="924"/>
      <c r="BN38" s="924"/>
      <c r="BO38" s="924"/>
      <c r="BP38" s="924"/>
      <c r="BQ38" s="925"/>
    </row>
    <row r="39" spans="1:69" ht="28.5" customHeight="1" x14ac:dyDescent="0.25">
      <c r="A39" s="914"/>
      <c r="B39" s="360" t="s">
        <v>269</v>
      </c>
      <c r="C39" s="360" t="s">
        <v>270</v>
      </c>
      <c r="D39" s="360" t="s">
        <v>269</v>
      </c>
      <c r="E39" s="360" t="s">
        <v>270</v>
      </c>
      <c r="F39" s="360" t="s">
        <v>269</v>
      </c>
      <c r="G39" s="360" t="s">
        <v>270</v>
      </c>
      <c r="H39" s="360" t="s">
        <v>269</v>
      </c>
      <c r="I39" s="360" t="s">
        <v>270</v>
      </c>
      <c r="J39" s="360" t="s">
        <v>269</v>
      </c>
      <c r="K39" s="360" t="s">
        <v>270</v>
      </c>
      <c r="L39" s="360" t="s">
        <v>269</v>
      </c>
      <c r="M39" s="360" t="s">
        <v>270</v>
      </c>
      <c r="N39" s="360" t="s">
        <v>269</v>
      </c>
      <c r="O39" s="360" t="s">
        <v>270</v>
      </c>
      <c r="P39" s="360" t="s">
        <v>269</v>
      </c>
      <c r="Q39" s="360" t="s">
        <v>270</v>
      </c>
      <c r="R39" s="360" t="s">
        <v>269</v>
      </c>
      <c r="S39" s="360" t="s">
        <v>270</v>
      </c>
      <c r="T39" s="360" t="s">
        <v>269</v>
      </c>
      <c r="U39" s="360" t="s">
        <v>270</v>
      </c>
      <c r="V39" s="360" t="s">
        <v>269</v>
      </c>
      <c r="W39" s="360" t="s">
        <v>270</v>
      </c>
      <c r="X39" s="360" t="s">
        <v>269</v>
      </c>
      <c r="Y39" s="360" t="s">
        <v>270</v>
      </c>
      <c r="Z39" s="360" t="s">
        <v>269</v>
      </c>
      <c r="AA39" s="360" t="s">
        <v>270</v>
      </c>
      <c r="AB39" s="923"/>
      <c r="AC39" s="360" t="s">
        <v>271</v>
      </c>
      <c r="AD39" s="139" t="s">
        <v>272</v>
      </c>
      <c r="AE39" s="360" t="s">
        <v>273</v>
      </c>
      <c r="AF39" s="360" t="s">
        <v>274</v>
      </c>
      <c r="AG39" s="360" t="s">
        <v>275</v>
      </c>
      <c r="AH39" s="360" t="s">
        <v>276</v>
      </c>
      <c r="AJ39" s="923"/>
      <c r="AK39" s="360" t="s">
        <v>269</v>
      </c>
      <c r="AL39" s="360" t="s">
        <v>270</v>
      </c>
      <c r="AM39" s="360" t="s">
        <v>269</v>
      </c>
      <c r="AN39" s="360" t="s">
        <v>270</v>
      </c>
      <c r="AO39" s="360" t="s">
        <v>269</v>
      </c>
      <c r="AP39" s="360" t="s">
        <v>270</v>
      </c>
      <c r="AQ39" s="360" t="s">
        <v>269</v>
      </c>
      <c r="AR39" s="360" t="s">
        <v>270</v>
      </c>
      <c r="AS39" s="360" t="s">
        <v>269</v>
      </c>
      <c r="AT39" s="360" t="s">
        <v>270</v>
      </c>
      <c r="AU39" s="360" t="s">
        <v>269</v>
      </c>
      <c r="AV39" s="360" t="s">
        <v>270</v>
      </c>
      <c r="AW39" s="360" t="s">
        <v>269</v>
      </c>
      <c r="AX39" s="360" t="s">
        <v>270</v>
      </c>
      <c r="AY39" s="360" t="s">
        <v>269</v>
      </c>
      <c r="AZ39" s="360" t="s">
        <v>270</v>
      </c>
      <c r="BA39" s="360" t="s">
        <v>269</v>
      </c>
      <c r="BB39" s="360" t="s">
        <v>270</v>
      </c>
      <c r="BC39" s="360" t="s">
        <v>269</v>
      </c>
      <c r="BD39" s="360" t="s">
        <v>270</v>
      </c>
      <c r="BE39" s="360" t="s">
        <v>269</v>
      </c>
      <c r="BF39" s="360" t="s">
        <v>270</v>
      </c>
      <c r="BG39" s="360" t="s">
        <v>269</v>
      </c>
      <c r="BH39" s="360" t="s">
        <v>270</v>
      </c>
      <c r="BI39" s="360" t="s">
        <v>269</v>
      </c>
      <c r="BJ39" s="360" t="s">
        <v>270</v>
      </c>
      <c r="BK39" s="923"/>
      <c r="BL39" s="360" t="s">
        <v>271</v>
      </c>
      <c r="BM39" s="139" t="s">
        <v>272</v>
      </c>
      <c r="BN39" s="360" t="s">
        <v>273</v>
      </c>
      <c r="BO39" s="360" t="s">
        <v>274</v>
      </c>
      <c r="BP39" s="360" t="s">
        <v>275</v>
      </c>
      <c r="BQ39" s="337" t="s">
        <v>276</v>
      </c>
    </row>
    <row r="40" spans="1:69" ht="150" x14ac:dyDescent="0.25">
      <c r="A40" s="338" t="s">
        <v>277</v>
      </c>
      <c r="B40" s="140">
        <v>70</v>
      </c>
      <c r="C40" s="140"/>
      <c r="D40" s="140">
        <v>165</v>
      </c>
      <c r="E40" s="140"/>
      <c r="F40" s="140">
        <v>165</v>
      </c>
      <c r="G40" s="140"/>
      <c r="H40" s="140"/>
      <c r="I40" s="140"/>
      <c r="J40" s="140"/>
      <c r="K40" s="140"/>
      <c r="L40" s="140"/>
      <c r="M40" s="140"/>
      <c r="N40" s="140"/>
      <c r="O40" s="141"/>
      <c r="P40" s="141"/>
      <c r="Q40" s="141"/>
      <c r="R40" s="141"/>
      <c r="S40" s="141"/>
      <c r="T40" s="141"/>
      <c r="U40" s="141"/>
      <c r="V40" s="141"/>
      <c r="W40" s="141"/>
      <c r="X40" s="141"/>
      <c r="Y40" s="141"/>
      <c r="Z40" s="141">
        <f>B40+D40+F40+H40+J40+L40+N40+P40+R40+T40+V40+X40</f>
        <v>400</v>
      </c>
      <c r="AA40" s="145">
        <f>C40+E40+G40+I40+K40+M40+O40+Q40+S40+U40+W40+Y40</f>
        <v>0</v>
      </c>
      <c r="AB40" s="265" t="s">
        <v>301</v>
      </c>
      <c r="AC40" s="140">
        <v>0</v>
      </c>
      <c r="AD40" s="140">
        <v>0</v>
      </c>
      <c r="AE40" s="140">
        <v>0</v>
      </c>
      <c r="AF40" s="140">
        <v>45</v>
      </c>
      <c r="AG40" s="140">
        <v>83</v>
      </c>
      <c r="AH40" s="265">
        <v>1</v>
      </c>
      <c r="AJ40" s="140" t="s">
        <v>277</v>
      </c>
      <c r="AK40" s="140">
        <v>104</v>
      </c>
      <c r="AL40" s="140"/>
      <c r="AM40" s="140">
        <v>177</v>
      </c>
      <c r="AN40" s="140"/>
      <c r="AO40" s="140">
        <v>190</v>
      </c>
      <c r="AP40" s="140"/>
      <c r="AQ40" s="140">
        <v>130</v>
      </c>
      <c r="AR40" s="140"/>
      <c r="AS40" s="140">
        <v>201</v>
      </c>
      <c r="AT40" s="140"/>
      <c r="AU40" s="140">
        <v>214</v>
      </c>
      <c r="AV40" s="140"/>
      <c r="AW40" s="140">
        <v>202</v>
      </c>
      <c r="AX40" s="141"/>
      <c r="AY40" s="141">
        <v>258</v>
      </c>
      <c r="AZ40" s="141"/>
      <c r="BA40" s="141">
        <v>254</v>
      </c>
      <c r="BB40" s="141"/>
      <c r="BC40" s="141">
        <v>227</v>
      </c>
      <c r="BD40" s="141"/>
      <c r="BE40" s="141">
        <v>243</v>
      </c>
      <c r="BF40" s="141"/>
      <c r="BG40" s="141">
        <v>155</v>
      </c>
      <c r="BH40" s="141"/>
      <c r="BI40" s="141">
        <f>AK40+AM40+AO40+AQ40+AS40+AU40+AW40+AY40+BA40+BC40+BE40+BG40</f>
        <v>2355</v>
      </c>
      <c r="BJ40" s="145">
        <f>AL40+AN40+AP40+AR40+AT40+AV40+AX40+AZ40+BB40+BD40+BF40+BH40</f>
        <v>0</v>
      </c>
      <c r="BK40" s="265" t="s">
        <v>564</v>
      </c>
      <c r="BL40" s="140">
        <v>0</v>
      </c>
      <c r="BM40" s="140">
        <v>0</v>
      </c>
      <c r="BN40" s="140">
        <v>0</v>
      </c>
      <c r="BO40" s="140">
        <v>50</v>
      </c>
      <c r="BP40" s="140">
        <v>70</v>
      </c>
      <c r="BQ40" s="339">
        <v>0</v>
      </c>
    </row>
    <row r="41" spans="1:69" ht="14.25" customHeight="1" x14ac:dyDescent="0.25">
      <c r="A41" s="338" t="s">
        <v>279</v>
      </c>
      <c r="B41" s="140"/>
      <c r="C41" s="140"/>
      <c r="D41" s="140"/>
      <c r="E41" s="140"/>
      <c r="F41" s="140"/>
      <c r="G41" s="140"/>
      <c r="H41" s="140"/>
      <c r="I41" s="140"/>
      <c r="J41" s="140"/>
      <c r="K41" s="140"/>
      <c r="L41" s="140"/>
      <c r="M41" s="140"/>
      <c r="N41" s="140"/>
      <c r="O41" s="141"/>
      <c r="P41" s="141"/>
      <c r="Q41" s="141"/>
      <c r="R41" s="141"/>
      <c r="S41" s="141"/>
      <c r="T41" s="141"/>
      <c r="U41" s="141"/>
      <c r="V41" s="141"/>
      <c r="W41" s="141"/>
      <c r="X41" s="141"/>
      <c r="Y41" s="141"/>
      <c r="Z41" s="141">
        <f t="shared" ref="Z41:AA60" si="7">B41+D41+F41+H41+J41+L41+N41+P41+R41+T41+V41+X41</f>
        <v>0</v>
      </c>
      <c r="AA41" s="145">
        <f t="shared" si="7"/>
        <v>0</v>
      </c>
      <c r="AB41" s="143"/>
      <c r="AC41" s="143"/>
      <c r="AD41" s="143"/>
      <c r="AE41" s="143"/>
      <c r="AF41" s="143"/>
      <c r="AG41" s="143"/>
      <c r="AH41" s="143"/>
      <c r="AJ41" s="140" t="s">
        <v>279</v>
      </c>
      <c r="AK41" s="140"/>
      <c r="AL41" s="140"/>
      <c r="AM41" s="140"/>
      <c r="AN41" s="140"/>
      <c r="AO41" s="140"/>
      <c r="AP41" s="140"/>
      <c r="AQ41" s="140"/>
      <c r="AR41" s="140"/>
      <c r="AS41" s="140"/>
      <c r="AT41" s="140"/>
      <c r="AU41" s="140"/>
      <c r="AV41" s="140"/>
      <c r="AW41" s="140"/>
      <c r="AX41" s="141"/>
      <c r="AY41" s="141"/>
      <c r="AZ41" s="141"/>
      <c r="BA41" s="141"/>
      <c r="BB41" s="141"/>
      <c r="BC41" s="141"/>
      <c r="BD41" s="141"/>
      <c r="BE41" s="141"/>
      <c r="BF41" s="141"/>
      <c r="BG41" s="141"/>
      <c r="BH41" s="141"/>
      <c r="BI41" s="141">
        <f t="shared" ref="BI41:BJ60" si="8">AK41+AM41+AO41+AQ41+AS41+AU41+AW41+AY41+BA41+BC41+BE41+BG41</f>
        <v>0</v>
      </c>
      <c r="BJ41" s="145">
        <f t="shared" si="8"/>
        <v>0</v>
      </c>
      <c r="BK41" s="143"/>
      <c r="BL41" s="143"/>
      <c r="BM41" s="143"/>
      <c r="BN41" s="143"/>
      <c r="BO41" s="143"/>
      <c r="BP41" s="143"/>
      <c r="BQ41" s="340"/>
    </row>
    <row r="42" spans="1:69" x14ac:dyDescent="0.25">
      <c r="A42" s="338" t="s">
        <v>280</v>
      </c>
      <c r="B42" s="140"/>
      <c r="C42" s="140"/>
      <c r="D42" s="140"/>
      <c r="E42" s="140"/>
      <c r="F42" s="140"/>
      <c r="G42" s="140"/>
      <c r="H42" s="140"/>
      <c r="I42" s="140"/>
      <c r="J42" s="140"/>
      <c r="K42" s="140"/>
      <c r="L42" s="140"/>
      <c r="M42" s="140"/>
      <c r="N42" s="140"/>
      <c r="O42" s="141"/>
      <c r="P42" s="141"/>
      <c r="Q42" s="141"/>
      <c r="R42" s="141"/>
      <c r="S42" s="141"/>
      <c r="T42" s="141"/>
      <c r="U42" s="141"/>
      <c r="V42" s="141"/>
      <c r="W42" s="141"/>
      <c r="X42" s="141"/>
      <c r="Y42" s="141"/>
      <c r="Z42" s="141">
        <f t="shared" si="7"/>
        <v>0</v>
      </c>
      <c r="AA42" s="145">
        <f t="shared" si="7"/>
        <v>0</v>
      </c>
      <c r="AB42" s="143"/>
      <c r="AC42" s="143"/>
      <c r="AD42" s="143"/>
      <c r="AE42" s="143"/>
      <c r="AF42" s="143"/>
      <c r="AG42" s="143"/>
      <c r="AH42" s="143"/>
      <c r="AJ42" s="140" t="s">
        <v>280</v>
      </c>
      <c r="AK42" s="140"/>
      <c r="AL42" s="140"/>
      <c r="AM42" s="140"/>
      <c r="AN42" s="140"/>
      <c r="AO42" s="140"/>
      <c r="AP42" s="140"/>
      <c r="AQ42" s="140"/>
      <c r="AR42" s="140"/>
      <c r="AS42" s="140"/>
      <c r="AT42" s="140"/>
      <c r="AU42" s="140"/>
      <c r="AV42" s="140"/>
      <c r="AW42" s="140"/>
      <c r="AX42" s="141"/>
      <c r="AY42" s="141"/>
      <c r="AZ42" s="141"/>
      <c r="BA42" s="141"/>
      <c r="BB42" s="141"/>
      <c r="BC42" s="141"/>
      <c r="BD42" s="141"/>
      <c r="BE42" s="141"/>
      <c r="BF42" s="141"/>
      <c r="BG42" s="141"/>
      <c r="BH42" s="141"/>
      <c r="BI42" s="141">
        <f t="shared" si="8"/>
        <v>0</v>
      </c>
      <c r="BJ42" s="145">
        <f t="shared" si="8"/>
        <v>0</v>
      </c>
      <c r="BK42" s="143"/>
      <c r="BL42" s="143"/>
      <c r="BM42" s="143"/>
      <c r="BN42" s="143"/>
      <c r="BO42" s="143"/>
      <c r="BP42" s="143"/>
      <c r="BQ42" s="340"/>
    </row>
    <row r="43" spans="1:69" x14ac:dyDescent="0.25">
      <c r="A43" s="338" t="s">
        <v>281</v>
      </c>
      <c r="B43" s="140"/>
      <c r="C43" s="140"/>
      <c r="D43" s="140"/>
      <c r="E43" s="140"/>
      <c r="F43" s="140"/>
      <c r="G43" s="140"/>
      <c r="H43" s="140"/>
      <c r="I43" s="140"/>
      <c r="J43" s="140"/>
      <c r="K43" s="140"/>
      <c r="L43" s="140"/>
      <c r="M43" s="140"/>
      <c r="N43" s="140"/>
      <c r="O43" s="141"/>
      <c r="P43" s="141"/>
      <c r="Q43" s="141"/>
      <c r="R43" s="141"/>
      <c r="S43" s="141"/>
      <c r="T43" s="141"/>
      <c r="U43" s="141"/>
      <c r="V43" s="141"/>
      <c r="W43" s="141"/>
      <c r="X43" s="141"/>
      <c r="Y43" s="141"/>
      <c r="Z43" s="141">
        <f t="shared" si="7"/>
        <v>0</v>
      </c>
      <c r="AA43" s="145">
        <f t="shared" si="7"/>
        <v>0</v>
      </c>
      <c r="AB43" s="143"/>
      <c r="AC43" s="143"/>
      <c r="AD43" s="143"/>
      <c r="AE43" s="143"/>
      <c r="AF43" s="143"/>
      <c r="AG43" s="143"/>
      <c r="AH43" s="143"/>
      <c r="AJ43" s="140" t="s">
        <v>281</v>
      </c>
      <c r="AK43" s="140"/>
      <c r="AL43" s="140"/>
      <c r="AM43" s="140"/>
      <c r="AN43" s="140"/>
      <c r="AO43" s="140"/>
      <c r="AP43" s="140"/>
      <c r="AQ43" s="140"/>
      <c r="AR43" s="140"/>
      <c r="AS43" s="140"/>
      <c r="AT43" s="140"/>
      <c r="AU43" s="140"/>
      <c r="AV43" s="140"/>
      <c r="AW43" s="140"/>
      <c r="AX43" s="141"/>
      <c r="AY43" s="141"/>
      <c r="AZ43" s="141"/>
      <c r="BA43" s="141"/>
      <c r="BB43" s="141"/>
      <c r="BC43" s="141"/>
      <c r="BD43" s="141"/>
      <c r="BE43" s="141"/>
      <c r="BF43" s="141"/>
      <c r="BG43" s="141"/>
      <c r="BH43" s="141"/>
      <c r="BI43" s="141">
        <f t="shared" si="8"/>
        <v>0</v>
      </c>
      <c r="BJ43" s="145">
        <f t="shared" si="8"/>
        <v>0</v>
      </c>
      <c r="BK43" s="143"/>
      <c r="BL43" s="143"/>
      <c r="BM43" s="143"/>
      <c r="BN43" s="143"/>
      <c r="BO43" s="143"/>
      <c r="BP43" s="143"/>
      <c r="BQ43" s="340"/>
    </row>
    <row r="44" spans="1:69" x14ac:dyDescent="0.25">
      <c r="A44" s="338" t="s">
        <v>282</v>
      </c>
      <c r="B44" s="140"/>
      <c r="C44" s="140"/>
      <c r="D44" s="140"/>
      <c r="E44" s="140"/>
      <c r="F44" s="140"/>
      <c r="G44" s="140"/>
      <c r="H44" s="140"/>
      <c r="I44" s="140"/>
      <c r="J44" s="140"/>
      <c r="K44" s="140"/>
      <c r="L44" s="140"/>
      <c r="M44" s="140"/>
      <c r="N44" s="140"/>
      <c r="O44" s="141"/>
      <c r="P44" s="141"/>
      <c r="Q44" s="141"/>
      <c r="R44" s="141"/>
      <c r="S44" s="141"/>
      <c r="T44" s="141"/>
      <c r="U44" s="141"/>
      <c r="V44" s="141"/>
      <c r="W44" s="141"/>
      <c r="X44" s="141"/>
      <c r="Y44" s="141"/>
      <c r="Z44" s="141">
        <f t="shared" si="7"/>
        <v>0</v>
      </c>
      <c r="AA44" s="145">
        <f t="shared" si="7"/>
        <v>0</v>
      </c>
      <c r="AB44" s="143"/>
      <c r="AC44" s="143"/>
      <c r="AD44" s="143"/>
      <c r="AE44" s="143"/>
      <c r="AF44" s="143"/>
      <c r="AG44" s="143"/>
      <c r="AH44" s="143"/>
      <c r="AJ44" s="140" t="s">
        <v>282</v>
      </c>
      <c r="AK44" s="140"/>
      <c r="AL44" s="140"/>
      <c r="AM44" s="140"/>
      <c r="AN44" s="140"/>
      <c r="AO44" s="140"/>
      <c r="AP44" s="140"/>
      <c r="AQ44" s="140"/>
      <c r="AR44" s="140"/>
      <c r="AS44" s="140"/>
      <c r="AT44" s="140"/>
      <c r="AU44" s="140"/>
      <c r="AV44" s="140"/>
      <c r="AW44" s="140"/>
      <c r="AX44" s="141"/>
      <c r="AY44" s="141"/>
      <c r="AZ44" s="141"/>
      <c r="BA44" s="141"/>
      <c r="BB44" s="141"/>
      <c r="BC44" s="141"/>
      <c r="BD44" s="141"/>
      <c r="BE44" s="141"/>
      <c r="BF44" s="141"/>
      <c r="BG44" s="141"/>
      <c r="BH44" s="141"/>
      <c r="BI44" s="141">
        <f t="shared" si="8"/>
        <v>0</v>
      </c>
      <c r="BJ44" s="145">
        <f t="shared" si="8"/>
        <v>0</v>
      </c>
      <c r="BK44" s="143"/>
      <c r="BL44" s="143"/>
      <c r="BM44" s="143"/>
      <c r="BN44" s="143"/>
      <c r="BO44" s="143"/>
      <c r="BP44" s="143"/>
      <c r="BQ44" s="340"/>
    </row>
    <row r="45" spans="1:69" x14ac:dyDescent="0.25">
      <c r="A45" s="338" t="s">
        <v>283</v>
      </c>
      <c r="B45" s="140"/>
      <c r="C45" s="140"/>
      <c r="D45" s="140"/>
      <c r="E45" s="140"/>
      <c r="F45" s="140"/>
      <c r="G45" s="140"/>
      <c r="H45" s="140"/>
      <c r="I45" s="140"/>
      <c r="J45" s="140"/>
      <c r="K45" s="140"/>
      <c r="L45" s="140"/>
      <c r="M45" s="140"/>
      <c r="N45" s="140"/>
      <c r="O45" s="141"/>
      <c r="P45" s="141"/>
      <c r="Q45" s="141"/>
      <c r="R45" s="141"/>
      <c r="S45" s="141"/>
      <c r="T45" s="141"/>
      <c r="U45" s="141"/>
      <c r="V45" s="141"/>
      <c r="W45" s="141"/>
      <c r="X45" s="141"/>
      <c r="Y45" s="141"/>
      <c r="Z45" s="141">
        <f t="shared" si="7"/>
        <v>0</v>
      </c>
      <c r="AA45" s="145">
        <f t="shared" si="7"/>
        <v>0</v>
      </c>
      <c r="AB45" s="143"/>
      <c r="AC45" s="143"/>
      <c r="AD45" s="143"/>
      <c r="AE45" s="143"/>
      <c r="AF45" s="143"/>
      <c r="AG45" s="143"/>
      <c r="AH45" s="143"/>
      <c r="AJ45" s="140" t="s">
        <v>283</v>
      </c>
      <c r="AK45" s="140"/>
      <c r="AL45" s="140"/>
      <c r="AM45" s="140"/>
      <c r="AN45" s="140"/>
      <c r="AO45" s="140"/>
      <c r="AP45" s="140"/>
      <c r="AQ45" s="140"/>
      <c r="AR45" s="140"/>
      <c r="AS45" s="140"/>
      <c r="AT45" s="140"/>
      <c r="AU45" s="140"/>
      <c r="AV45" s="140"/>
      <c r="AW45" s="140"/>
      <c r="AX45" s="141"/>
      <c r="AY45" s="141"/>
      <c r="AZ45" s="141"/>
      <c r="BA45" s="141"/>
      <c r="BB45" s="141"/>
      <c r="BC45" s="141"/>
      <c r="BD45" s="141"/>
      <c r="BE45" s="141"/>
      <c r="BF45" s="141"/>
      <c r="BG45" s="141"/>
      <c r="BH45" s="141"/>
      <c r="BI45" s="141">
        <f t="shared" si="8"/>
        <v>0</v>
      </c>
      <c r="BJ45" s="145">
        <f t="shared" si="8"/>
        <v>0</v>
      </c>
      <c r="BK45" s="143"/>
      <c r="BL45" s="143"/>
      <c r="BM45" s="143"/>
      <c r="BN45" s="143"/>
      <c r="BO45" s="143"/>
      <c r="BP45" s="143"/>
      <c r="BQ45" s="340"/>
    </row>
    <row r="46" spans="1:69" x14ac:dyDescent="0.25">
      <c r="A46" s="338" t="s">
        <v>284</v>
      </c>
      <c r="B46" s="140"/>
      <c r="C46" s="140"/>
      <c r="D46" s="140"/>
      <c r="E46" s="140"/>
      <c r="F46" s="140"/>
      <c r="G46" s="140"/>
      <c r="H46" s="140"/>
      <c r="I46" s="140"/>
      <c r="J46" s="140"/>
      <c r="K46" s="140"/>
      <c r="L46" s="140"/>
      <c r="M46" s="140"/>
      <c r="N46" s="140"/>
      <c r="O46" s="141"/>
      <c r="P46" s="141"/>
      <c r="Q46" s="141"/>
      <c r="R46" s="141"/>
      <c r="S46" s="141"/>
      <c r="T46" s="141"/>
      <c r="U46" s="141"/>
      <c r="V46" s="141"/>
      <c r="W46" s="141"/>
      <c r="X46" s="141"/>
      <c r="Y46" s="141"/>
      <c r="Z46" s="141">
        <f t="shared" si="7"/>
        <v>0</v>
      </c>
      <c r="AA46" s="145">
        <f t="shared" si="7"/>
        <v>0</v>
      </c>
      <c r="AB46" s="143"/>
      <c r="AC46" s="143"/>
      <c r="AD46" s="143"/>
      <c r="AE46" s="143"/>
      <c r="AF46" s="143"/>
      <c r="AG46" s="143"/>
      <c r="AH46" s="143"/>
      <c r="AJ46" s="140" t="s">
        <v>284</v>
      </c>
      <c r="AK46" s="140"/>
      <c r="AL46" s="140"/>
      <c r="AM46" s="140"/>
      <c r="AN46" s="140"/>
      <c r="AO46" s="140"/>
      <c r="AP46" s="140"/>
      <c r="AQ46" s="140"/>
      <c r="AR46" s="140"/>
      <c r="AS46" s="140"/>
      <c r="AT46" s="140"/>
      <c r="AU46" s="140"/>
      <c r="AV46" s="140"/>
      <c r="AW46" s="140"/>
      <c r="AX46" s="141"/>
      <c r="AY46" s="141"/>
      <c r="AZ46" s="141"/>
      <c r="BA46" s="141"/>
      <c r="BB46" s="141"/>
      <c r="BC46" s="141"/>
      <c r="BD46" s="141"/>
      <c r="BE46" s="141"/>
      <c r="BF46" s="141"/>
      <c r="BG46" s="141"/>
      <c r="BH46" s="141"/>
      <c r="BI46" s="141">
        <f t="shared" si="8"/>
        <v>0</v>
      </c>
      <c r="BJ46" s="145">
        <f t="shared" si="8"/>
        <v>0</v>
      </c>
      <c r="BK46" s="143"/>
      <c r="BL46" s="143"/>
      <c r="BM46" s="143"/>
      <c r="BN46" s="143"/>
      <c r="BO46" s="143"/>
      <c r="BP46" s="143"/>
      <c r="BQ46" s="340"/>
    </row>
    <row r="47" spans="1:69" x14ac:dyDescent="0.25">
      <c r="A47" s="338" t="s">
        <v>285</v>
      </c>
      <c r="B47" s="140"/>
      <c r="C47" s="140"/>
      <c r="D47" s="140"/>
      <c r="E47" s="140"/>
      <c r="F47" s="140"/>
      <c r="G47" s="140"/>
      <c r="H47" s="140"/>
      <c r="I47" s="140"/>
      <c r="J47" s="140"/>
      <c r="K47" s="140"/>
      <c r="L47" s="140"/>
      <c r="M47" s="140"/>
      <c r="N47" s="140"/>
      <c r="O47" s="141"/>
      <c r="P47" s="141"/>
      <c r="Q47" s="141"/>
      <c r="R47" s="141"/>
      <c r="S47" s="141"/>
      <c r="T47" s="141"/>
      <c r="U47" s="141"/>
      <c r="V47" s="141"/>
      <c r="W47" s="141"/>
      <c r="X47" s="141"/>
      <c r="Y47" s="141"/>
      <c r="Z47" s="141">
        <f t="shared" si="7"/>
        <v>0</v>
      </c>
      <c r="AA47" s="145">
        <f t="shared" si="7"/>
        <v>0</v>
      </c>
      <c r="AB47" s="143"/>
      <c r="AC47" s="143"/>
      <c r="AD47" s="143"/>
      <c r="AE47" s="143"/>
      <c r="AF47" s="143"/>
      <c r="AG47" s="143"/>
      <c r="AH47" s="143"/>
      <c r="AJ47" s="140" t="s">
        <v>285</v>
      </c>
      <c r="AK47" s="140"/>
      <c r="AL47" s="140"/>
      <c r="AM47" s="140"/>
      <c r="AN47" s="140"/>
      <c r="AO47" s="140"/>
      <c r="AP47" s="140"/>
      <c r="AQ47" s="140"/>
      <c r="AR47" s="140"/>
      <c r="AS47" s="140"/>
      <c r="AT47" s="140"/>
      <c r="AU47" s="140"/>
      <c r="AV47" s="140"/>
      <c r="AW47" s="140"/>
      <c r="AX47" s="141"/>
      <c r="AY47" s="141"/>
      <c r="AZ47" s="141"/>
      <c r="BA47" s="141"/>
      <c r="BB47" s="141"/>
      <c r="BC47" s="141"/>
      <c r="BD47" s="141"/>
      <c r="BE47" s="141"/>
      <c r="BF47" s="141"/>
      <c r="BG47" s="141"/>
      <c r="BH47" s="141"/>
      <c r="BI47" s="141">
        <f t="shared" si="8"/>
        <v>0</v>
      </c>
      <c r="BJ47" s="145">
        <f t="shared" si="8"/>
        <v>0</v>
      </c>
      <c r="BK47" s="143"/>
      <c r="BL47" s="143"/>
      <c r="BM47" s="143"/>
      <c r="BN47" s="143"/>
      <c r="BO47" s="143"/>
      <c r="BP47" s="143"/>
      <c r="BQ47" s="340"/>
    </row>
    <row r="48" spans="1:69" x14ac:dyDescent="0.25">
      <c r="A48" s="338" t="s">
        <v>286</v>
      </c>
      <c r="B48" s="140"/>
      <c r="C48" s="140"/>
      <c r="D48" s="140"/>
      <c r="E48" s="140"/>
      <c r="F48" s="140"/>
      <c r="G48" s="140"/>
      <c r="H48" s="140"/>
      <c r="I48" s="140"/>
      <c r="J48" s="140"/>
      <c r="K48" s="140"/>
      <c r="L48" s="140"/>
      <c r="M48" s="140"/>
      <c r="N48" s="140"/>
      <c r="O48" s="141"/>
      <c r="P48" s="141"/>
      <c r="Q48" s="141"/>
      <c r="R48" s="141"/>
      <c r="S48" s="141"/>
      <c r="T48" s="141"/>
      <c r="U48" s="141"/>
      <c r="V48" s="141"/>
      <c r="W48" s="141"/>
      <c r="X48" s="141"/>
      <c r="Y48" s="141"/>
      <c r="Z48" s="141">
        <f t="shared" si="7"/>
        <v>0</v>
      </c>
      <c r="AA48" s="145">
        <f t="shared" si="7"/>
        <v>0</v>
      </c>
      <c r="AB48" s="143"/>
      <c r="AC48" s="143"/>
      <c r="AD48" s="143"/>
      <c r="AE48" s="143"/>
      <c r="AF48" s="143"/>
      <c r="AG48" s="143"/>
      <c r="AH48" s="143"/>
      <c r="AJ48" s="140" t="s">
        <v>286</v>
      </c>
      <c r="AK48" s="140"/>
      <c r="AL48" s="140"/>
      <c r="AM48" s="140"/>
      <c r="AN48" s="140"/>
      <c r="AO48" s="140"/>
      <c r="AP48" s="140"/>
      <c r="AQ48" s="140"/>
      <c r="AR48" s="140"/>
      <c r="AS48" s="140"/>
      <c r="AT48" s="140"/>
      <c r="AU48" s="140"/>
      <c r="AV48" s="140"/>
      <c r="AW48" s="140"/>
      <c r="AX48" s="141"/>
      <c r="AY48" s="141"/>
      <c r="AZ48" s="141"/>
      <c r="BA48" s="141"/>
      <c r="BB48" s="141"/>
      <c r="BC48" s="141"/>
      <c r="BD48" s="141"/>
      <c r="BE48" s="141"/>
      <c r="BF48" s="141"/>
      <c r="BG48" s="141"/>
      <c r="BH48" s="141"/>
      <c r="BI48" s="141">
        <f t="shared" si="8"/>
        <v>0</v>
      </c>
      <c r="BJ48" s="145">
        <f t="shared" si="8"/>
        <v>0</v>
      </c>
      <c r="BK48" s="143"/>
      <c r="BL48" s="143"/>
      <c r="BM48" s="143"/>
      <c r="BN48" s="143"/>
      <c r="BO48" s="143"/>
      <c r="BP48" s="143"/>
      <c r="BQ48" s="340"/>
    </row>
    <row r="49" spans="1:69" x14ac:dyDescent="0.25">
      <c r="A49" s="338" t="s">
        <v>287</v>
      </c>
      <c r="B49" s="140"/>
      <c r="C49" s="140"/>
      <c r="D49" s="140"/>
      <c r="E49" s="140"/>
      <c r="F49" s="140"/>
      <c r="G49" s="140"/>
      <c r="H49" s="140"/>
      <c r="I49" s="140"/>
      <c r="J49" s="140"/>
      <c r="K49" s="140"/>
      <c r="L49" s="140"/>
      <c r="M49" s="140"/>
      <c r="N49" s="140"/>
      <c r="O49" s="141"/>
      <c r="P49" s="141"/>
      <c r="Q49" s="141"/>
      <c r="R49" s="141"/>
      <c r="S49" s="141"/>
      <c r="T49" s="141"/>
      <c r="U49" s="141"/>
      <c r="V49" s="141"/>
      <c r="W49" s="141"/>
      <c r="X49" s="141"/>
      <c r="Y49" s="141"/>
      <c r="Z49" s="141">
        <f t="shared" si="7"/>
        <v>0</v>
      </c>
      <c r="AA49" s="145">
        <f t="shared" si="7"/>
        <v>0</v>
      </c>
      <c r="AB49" s="143"/>
      <c r="AC49" s="143"/>
      <c r="AD49" s="143"/>
      <c r="AE49" s="143"/>
      <c r="AF49" s="143"/>
      <c r="AG49" s="143"/>
      <c r="AH49" s="143"/>
      <c r="AJ49" s="140" t="s">
        <v>287</v>
      </c>
      <c r="AK49" s="140"/>
      <c r="AL49" s="140"/>
      <c r="AM49" s="140"/>
      <c r="AN49" s="140"/>
      <c r="AO49" s="140"/>
      <c r="AP49" s="140"/>
      <c r="AQ49" s="140"/>
      <c r="AR49" s="140"/>
      <c r="AS49" s="140"/>
      <c r="AT49" s="140"/>
      <c r="AU49" s="140"/>
      <c r="AV49" s="140"/>
      <c r="AW49" s="140"/>
      <c r="AX49" s="141"/>
      <c r="AY49" s="141"/>
      <c r="AZ49" s="141"/>
      <c r="BA49" s="141"/>
      <c r="BB49" s="141"/>
      <c r="BC49" s="141"/>
      <c r="BD49" s="141"/>
      <c r="BE49" s="141"/>
      <c r="BF49" s="141"/>
      <c r="BG49" s="141"/>
      <c r="BH49" s="141"/>
      <c r="BI49" s="141">
        <f t="shared" si="8"/>
        <v>0</v>
      </c>
      <c r="BJ49" s="145">
        <f t="shared" si="8"/>
        <v>0</v>
      </c>
      <c r="BK49" s="143"/>
      <c r="BL49" s="143"/>
      <c r="BM49" s="143"/>
      <c r="BN49" s="143"/>
      <c r="BO49" s="143"/>
      <c r="BP49" s="143"/>
      <c r="BQ49" s="340"/>
    </row>
    <row r="50" spans="1:69" x14ac:dyDescent="0.25">
      <c r="A50" s="338" t="s">
        <v>288</v>
      </c>
      <c r="B50" s="140"/>
      <c r="C50" s="140"/>
      <c r="D50" s="140"/>
      <c r="E50" s="140"/>
      <c r="F50" s="140"/>
      <c r="G50" s="140"/>
      <c r="H50" s="140"/>
      <c r="I50" s="140"/>
      <c r="J50" s="140"/>
      <c r="K50" s="140"/>
      <c r="L50" s="140"/>
      <c r="M50" s="140"/>
      <c r="N50" s="140"/>
      <c r="O50" s="141"/>
      <c r="P50" s="141"/>
      <c r="Q50" s="141"/>
      <c r="R50" s="141"/>
      <c r="S50" s="141"/>
      <c r="T50" s="141"/>
      <c r="U50" s="141"/>
      <c r="V50" s="141"/>
      <c r="W50" s="141"/>
      <c r="X50" s="141"/>
      <c r="Y50" s="141"/>
      <c r="Z50" s="141">
        <f t="shared" si="7"/>
        <v>0</v>
      </c>
      <c r="AA50" s="145">
        <f t="shared" si="7"/>
        <v>0</v>
      </c>
      <c r="AB50" s="143"/>
      <c r="AC50" s="143"/>
      <c r="AD50" s="143"/>
      <c r="AE50" s="143"/>
      <c r="AF50" s="143"/>
      <c r="AG50" s="143"/>
      <c r="AH50" s="143"/>
      <c r="AJ50" s="140" t="s">
        <v>288</v>
      </c>
      <c r="AK50" s="140"/>
      <c r="AL50" s="140"/>
      <c r="AM50" s="140"/>
      <c r="AN50" s="140"/>
      <c r="AO50" s="140"/>
      <c r="AP50" s="140"/>
      <c r="AQ50" s="140"/>
      <c r="AR50" s="140"/>
      <c r="AS50" s="140"/>
      <c r="AT50" s="140"/>
      <c r="AU50" s="140"/>
      <c r="AV50" s="140"/>
      <c r="AW50" s="140"/>
      <c r="AX50" s="141"/>
      <c r="AY50" s="141"/>
      <c r="AZ50" s="141"/>
      <c r="BA50" s="141"/>
      <c r="BB50" s="141"/>
      <c r="BC50" s="141"/>
      <c r="BD50" s="141"/>
      <c r="BE50" s="141"/>
      <c r="BF50" s="141"/>
      <c r="BG50" s="141"/>
      <c r="BH50" s="141"/>
      <c r="BI50" s="141">
        <f t="shared" si="8"/>
        <v>0</v>
      </c>
      <c r="BJ50" s="145">
        <f t="shared" si="8"/>
        <v>0</v>
      </c>
      <c r="BK50" s="143"/>
      <c r="BL50" s="143"/>
      <c r="BM50" s="143"/>
      <c r="BN50" s="143"/>
      <c r="BO50" s="143"/>
      <c r="BP50" s="143"/>
      <c r="BQ50" s="340"/>
    </row>
    <row r="51" spans="1:69" x14ac:dyDescent="0.25">
      <c r="A51" s="338" t="s">
        <v>289</v>
      </c>
      <c r="B51" s="140"/>
      <c r="C51" s="140"/>
      <c r="D51" s="140"/>
      <c r="E51" s="140"/>
      <c r="F51" s="140"/>
      <c r="G51" s="140"/>
      <c r="H51" s="140"/>
      <c r="I51" s="140"/>
      <c r="J51" s="140"/>
      <c r="K51" s="140"/>
      <c r="L51" s="140"/>
      <c r="M51" s="140"/>
      <c r="N51" s="140"/>
      <c r="O51" s="141"/>
      <c r="P51" s="141"/>
      <c r="Q51" s="141"/>
      <c r="R51" s="141"/>
      <c r="S51" s="141"/>
      <c r="T51" s="141"/>
      <c r="U51" s="141"/>
      <c r="V51" s="141"/>
      <c r="W51" s="141"/>
      <c r="X51" s="141"/>
      <c r="Y51" s="141"/>
      <c r="Z51" s="141">
        <f t="shared" si="7"/>
        <v>0</v>
      </c>
      <c r="AA51" s="145">
        <f t="shared" si="7"/>
        <v>0</v>
      </c>
      <c r="AB51" s="143"/>
      <c r="AC51" s="143"/>
      <c r="AD51" s="143"/>
      <c r="AE51" s="143"/>
      <c r="AF51" s="143"/>
      <c r="AG51" s="143"/>
      <c r="AH51" s="143"/>
      <c r="AJ51" s="140" t="s">
        <v>289</v>
      </c>
      <c r="AK51" s="140"/>
      <c r="AL51" s="140"/>
      <c r="AM51" s="140"/>
      <c r="AN51" s="140"/>
      <c r="AO51" s="140"/>
      <c r="AP51" s="140"/>
      <c r="AQ51" s="140"/>
      <c r="AR51" s="140"/>
      <c r="AS51" s="140"/>
      <c r="AT51" s="140"/>
      <c r="AU51" s="140"/>
      <c r="AV51" s="140"/>
      <c r="AW51" s="140"/>
      <c r="AX51" s="141"/>
      <c r="AY51" s="141"/>
      <c r="AZ51" s="141"/>
      <c r="BA51" s="141"/>
      <c r="BB51" s="141"/>
      <c r="BC51" s="141"/>
      <c r="BD51" s="141"/>
      <c r="BE51" s="141"/>
      <c r="BF51" s="141"/>
      <c r="BG51" s="141"/>
      <c r="BH51" s="141"/>
      <c r="BI51" s="141">
        <f t="shared" si="8"/>
        <v>0</v>
      </c>
      <c r="BJ51" s="145">
        <f t="shared" si="8"/>
        <v>0</v>
      </c>
      <c r="BK51" s="143"/>
      <c r="BL51" s="143"/>
      <c r="BM51" s="143"/>
      <c r="BN51" s="143"/>
      <c r="BO51" s="143"/>
      <c r="BP51" s="143"/>
      <c r="BQ51" s="340"/>
    </row>
    <row r="52" spans="1:69" x14ac:dyDescent="0.25">
      <c r="A52" s="338" t="s">
        <v>290</v>
      </c>
      <c r="B52" s="140"/>
      <c r="C52" s="140"/>
      <c r="D52" s="140"/>
      <c r="E52" s="140"/>
      <c r="F52" s="140"/>
      <c r="G52" s="140"/>
      <c r="H52" s="140"/>
      <c r="I52" s="140"/>
      <c r="J52" s="140"/>
      <c r="K52" s="140"/>
      <c r="L52" s="140"/>
      <c r="M52" s="140"/>
      <c r="N52" s="140"/>
      <c r="O52" s="141"/>
      <c r="P52" s="141"/>
      <c r="Q52" s="141"/>
      <c r="R52" s="141"/>
      <c r="S52" s="141"/>
      <c r="T52" s="141"/>
      <c r="U52" s="141"/>
      <c r="V52" s="141"/>
      <c r="W52" s="141"/>
      <c r="X52" s="141"/>
      <c r="Y52" s="141"/>
      <c r="Z52" s="141">
        <f t="shared" si="7"/>
        <v>0</v>
      </c>
      <c r="AA52" s="145">
        <f t="shared" si="7"/>
        <v>0</v>
      </c>
      <c r="AB52" s="143"/>
      <c r="AC52" s="143"/>
      <c r="AD52" s="143"/>
      <c r="AE52" s="143"/>
      <c r="AF52" s="143"/>
      <c r="AG52" s="143"/>
      <c r="AH52" s="143"/>
      <c r="AJ52" s="140" t="s">
        <v>290</v>
      </c>
      <c r="AK52" s="140"/>
      <c r="AL52" s="140"/>
      <c r="AM52" s="140"/>
      <c r="AN52" s="140"/>
      <c r="AO52" s="140"/>
      <c r="AP52" s="140"/>
      <c r="AQ52" s="140"/>
      <c r="AR52" s="140"/>
      <c r="AS52" s="140"/>
      <c r="AT52" s="140"/>
      <c r="AU52" s="140"/>
      <c r="AV52" s="140"/>
      <c r="AW52" s="140"/>
      <c r="AX52" s="141"/>
      <c r="AY52" s="141"/>
      <c r="AZ52" s="141"/>
      <c r="BA52" s="141"/>
      <c r="BB52" s="141"/>
      <c r="BC52" s="141"/>
      <c r="BD52" s="141"/>
      <c r="BE52" s="141"/>
      <c r="BF52" s="141"/>
      <c r="BG52" s="141"/>
      <c r="BH52" s="141"/>
      <c r="BI52" s="141">
        <f t="shared" si="8"/>
        <v>0</v>
      </c>
      <c r="BJ52" s="145">
        <f t="shared" si="8"/>
        <v>0</v>
      </c>
      <c r="BK52" s="143"/>
      <c r="BL52" s="143"/>
      <c r="BM52" s="143"/>
      <c r="BN52" s="143"/>
      <c r="BO52" s="143"/>
      <c r="BP52" s="143"/>
      <c r="BQ52" s="340"/>
    </row>
    <row r="53" spans="1:69" x14ac:dyDescent="0.25">
      <c r="A53" s="338" t="s">
        <v>291</v>
      </c>
      <c r="B53" s="140"/>
      <c r="C53" s="140"/>
      <c r="D53" s="140"/>
      <c r="E53" s="140"/>
      <c r="F53" s="140"/>
      <c r="G53" s="140"/>
      <c r="H53" s="140"/>
      <c r="I53" s="140"/>
      <c r="J53" s="140"/>
      <c r="K53" s="140"/>
      <c r="L53" s="140"/>
      <c r="M53" s="140"/>
      <c r="N53" s="140"/>
      <c r="O53" s="141"/>
      <c r="P53" s="141"/>
      <c r="Q53" s="141"/>
      <c r="R53" s="141"/>
      <c r="S53" s="141"/>
      <c r="T53" s="141"/>
      <c r="U53" s="141"/>
      <c r="V53" s="141"/>
      <c r="W53" s="141"/>
      <c r="X53" s="141"/>
      <c r="Y53" s="141"/>
      <c r="Z53" s="141">
        <f t="shared" si="7"/>
        <v>0</v>
      </c>
      <c r="AA53" s="145">
        <f t="shared" si="7"/>
        <v>0</v>
      </c>
      <c r="AB53" s="143"/>
      <c r="AC53" s="143"/>
      <c r="AD53" s="143"/>
      <c r="AE53" s="143"/>
      <c r="AF53" s="143"/>
      <c r="AG53" s="143"/>
      <c r="AH53" s="143"/>
      <c r="AJ53" s="140" t="s">
        <v>291</v>
      </c>
      <c r="AK53" s="140"/>
      <c r="AL53" s="140"/>
      <c r="AM53" s="140"/>
      <c r="AN53" s="140"/>
      <c r="AO53" s="140"/>
      <c r="AP53" s="140"/>
      <c r="AQ53" s="140"/>
      <c r="AR53" s="140"/>
      <c r="AS53" s="140"/>
      <c r="AT53" s="140"/>
      <c r="AU53" s="140"/>
      <c r="AV53" s="140"/>
      <c r="AW53" s="140"/>
      <c r="AX53" s="141"/>
      <c r="AY53" s="141"/>
      <c r="AZ53" s="141"/>
      <c r="BA53" s="141"/>
      <c r="BB53" s="141"/>
      <c r="BC53" s="141"/>
      <c r="BD53" s="141"/>
      <c r="BE53" s="141"/>
      <c r="BF53" s="141"/>
      <c r="BG53" s="141"/>
      <c r="BH53" s="141"/>
      <c r="BI53" s="141">
        <f t="shared" si="8"/>
        <v>0</v>
      </c>
      <c r="BJ53" s="145">
        <f t="shared" si="8"/>
        <v>0</v>
      </c>
      <c r="BK53" s="143"/>
      <c r="BL53" s="143"/>
      <c r="BM53" s="143"/>
      <c r="BN53" s="143"/>
      <c r="BO53" s="143"/>
      <c r="BP53" s="143"/>
      <c r="BQ53" s="340"/>
    </row>
    <row r="54" spans="1:69" ht="173.25" customHeight="1" x14ac:dyDescent="0.25">
      <c r="A54" s="338" t="s">
        <v>292</v>
      </c>
      <c r="B54" s="140">
        <v>70</v>
      </c>
      <c r="C54" s="140"/>
      <c r="D54" s="140">
        <v>165</v>
      </c>
      <c r="E54" s="140"/>
      <c r="F54" s="140">
        <v>165</v>
      </c>
      <c r="G54" s="140"/>
      <c r="H54" s="140"/>
      <c r="I54" s="140"/>
      <c r="J54" s="140"/>
      <c r="K54" s="140"/>
      <c r="L54" s="140"/>
      <c r="M54" s="140"/>
      <c r="N54" s="140"/>
      <c r="O54" s="141"/>
      <c r="P54" s="140"/>
      <c r="Q54" s="141"/>
      <c r="R54" s="140"/>
      <c r="S54" s="140"/>
      <c r="T54" s="140"/>
      <c r="U54" s="141"/>
      <c r="V54" s="140"/>
      <c r="W54" s="141"/>
      <c r="X54" s="141"/>
      <c r="Y54" s="141"/>
      <c r="Z54" s="141">
        <f t="shared" si="7"/>
        <v>400</v>
      </c>
      <c r="AA54" s="145">
        <f t="shared" si="7"/>
        <v>0</v>
      </c>
      <c r="AB54" s="265" t="s">
        <v>301</v>
      </c>
      <c r="AC54" s="140">
        <v>0</v>
      </c>
      <c r="AD54" s="140">
        <v>0</v>
      </c>
      <c r="AE54" s="140">
        <v>0</v>
      </c>
      <c r="AF54" s="140">
        <v>45</v>
      </c>
      <c r="AG54" s="140">
        <v>83</v>
      </c>
      <c r="AH54" s="265">
        <v>1</v>
      </c>
      <c r="AJ54" s="140" t="s">
        <v>292</v>
      </c>
      <c r="AK54" s="140">
        <f>+AK40</f>
        <v>104</v>
      </c>
      <c r="AL54" s="140">
        <f t="shared" ref="AL54:BG54" si="9">+AL40</f>
        <v>0</v>
      </c>
      <c r="AM54" s="140">
        <f t="shared" si="9"/>
        <v>177</v>
      </c>
      <c r="AN54" s="140">
        <f t="shared" si="9"/>
        <v>0</v>
      </c>
      <c r="AO54" s="140">
        <f t="shared" si="9"/>
        <v>190</v>
      </c>
      <c r="AP54" s="140">
        <f t="shared" si="9"/>
        <v>0</v>
      </c>
      <c r="AQ54" s="140">
        <f t="shared" si="9"/>
        <v>130</v>
      </c>
      <c r="AR54" s="140">
        <f t="shared" si="9"/>
        <v>0</v>
      </c>
      <c r="AS54" s="140">
        <f t="shared" si="9"/>
        <v>201</v>
      </c>
      <c r="AT54" s="140">
        <f t="shared" si="9"/>
        <v>0</v>
      </c>
      <c r="AU54" s="140">
        <f t="shared" si="9"/>
        <v>214</v>
      </c>
      <c r="AV54" s="140">
        <f t="shared" si="9"/>
        <v>0</v>
      </c>
      <c r="AW54" s="140">
        <f t="shared" si="9"/>
        <v>202</v>
      </c>
      <c r="AX54" s="140">
        <f t="shared" si="9"/>
        <v>0</v>
      </c>
      <c r="AY54" s="140">
        <f t="shared" si="9"/>
        <v>258</v>
      </c>
      <c r="AZ54" s="140">
        <f t="shared" si="9"/>
        <v>0</v>
      </c>
      <c r="BA54" s="140">
        <f t="shared" si="9"/>
        <v>254</v>
      </c>
      <c r="BB54" s="140">
        <f t="shared" si="9"/>
        <v>0</v>
      </c>
      <c r="BC54" s="140">
        <f t="shared" si="9"/>
        <v>227</v>
      </c>
      <c r="BD54" s="140">
        <f t="shared" si="9"/>
        <v>0</v>
      </c>
      <c r="BE54" s="140">
        <f t="shared" si="9"/>
        <v>243</v>
      </c>
      <c r="BF54" s="140">
        <f t="shared" si="9"/>
        <v>0</v>
      </c>
      <c r="BG54" s="140">
        <f t="shared" si="9"/>
        <v>155</v>
      </c>
      <c r="BH54" s="141"/>
      <c r="BI54" s="141">
        <f t="shared" si="8"/>
        <v>2355</v>
      </c>
      <c r="BJ54" s="145">
        <f t="shared" si="8"/>
        <v>0</v>
      </c>
      <c r="BK54" s="265" t="s">
        <v>564</v>
      </c>
      <c r="BL54" s="140">
        <v>0</v>
      </c>
      <c r="BM54" s="140">
        <v>0</v>
      </c>
      <c r="BN54" s="140">
        <v>0</v>
      </c>
      <c r="BO54" s="140">
        <v>50</v>
      </c>
      <c r="BP54" s="140">
        <v>70</v>
      </c>
      <c r="BQ54" s="339">
        <v>0</v>
      </c>
    </row>
    <row r="55" spans="1:69" x14ac:dyDescent="0.25">
      <c r="A55" s="338" t="s">
        <v>293</v>
      </c>
      <c r="B55" s="140"/>
      <c r="C55" s="140"/>
      <c r="D55" s="140"/>
      <c r="E55" s="140"/>
      <c r="F55" s="140"/>
      <c r="G55" s="140"/>
      <c r="H55" s="140"/>
      <c r="I55" s="140"/>
      <c r="J55" s="140"/>
      <c r="K55" s="140"/>
      <c r="L55" s="140"/>
      <c r="M55" s="140"/>
      <c r="N55" s="140"/>
      <c r="O55" s="141"/>
      <c r="P55" s="141"/>
      <c r="Q55" s="141"/>
      <c r="R55" s="141"/>
      <c r="S55" s="141"/>
      <c r="T55" s="141"/>
      <c r="U55" s="141"/>
      <c r="V55" s="141"/>
      <c r="W55" s="141"/>
      <c r="X55" s="141"/>
      <c r="Y55" s="141"/>
      <c r="Z55" s="141">
        <f t="shared" si="7"/>
        <v>0</v>
      </c>
      <c r="AA55" s="145">
        <f t="shared" si="7"/>
        <v>0</v>
      </c>
      <c r="AB55" s="143"/>
      <c r="AC55" s="143"/>
      <c r="AD55" s="143"/>
      <c r="AE55" s="143"/>
      <c r="AF55" s="143"/>
      <c r="AG55" s="143"/>
      <c r="AH55" s="143"/>
      <c r="AJ55" s="140" t="s">
        <v>293</v>
      </c>
      <c r="AK55" s="140"/>
      <c r="AL55" s="140"/>
      <c r="AM55" s="140"/>
      <c r="AN55" s="140"/>
      <c r="AO55" s="140"/>
      <c r="AP55" s="140"/>
      <c r="AQ55" s="140"/>
      <c r="AR55" s="140"/>
      <c r="AS55" s="140"/>
      <c r="AT55" s="140"/>
      <c r="AU55" s="140"/>
      <c r="AV55" s="140"/>
      <c r="AW55" s="140"/>
      <c r="AX55" s="141"/>
      <c r="AY55" s="141"/>
      <c r="AZ55" s="141"/>
      <c r="BA55" s="141"/>
      <c r="BB55" s="141"/>
      <c r="BC55" s="141"/>
      <c r="BD55" s="141"/>
      <c r="BE55" s="141"/>
      <c r="BF55" s="141"/>
      <c r="BG55" s="141"/>
      <c r="BH55" s="141"/>
      <c r="BI55" s="141">
        <f t="shared" si="8"/>
        <v>0</v>
      </c>
      <c r="BJ55" s="145">
        <f t="shared" si="8"/>
        <v>0</v>
      </c>
      <c r="BK55" s="143"/>
      <c r="BL55" s="143"/>
      <c r="BM55" s="143"/>
      <c r="BN55" s="143"/>
      <c r="BO55" s="143"/>
      <c r="BP55" s="143"/>
      <c r="BQ55" s="340"/>
    </row>
    <row r="56" spans="1:69" x14ac:dyDescent="0.25">
      <c r="A56" s="338" t="s">
        <v>294</v>
      </c>
      <c r="B56" s="140"/>
      <c r="C56" s="140"/>
      <c r="D56" s="140"/>
      <c r="E56" s="140"/>
      <c r="F56" s="140"/>
      <c r="G56" s="140"/>
      <c r="H56" s="140"/>
      <c r="I56" s="140"/>
      <c r="J56" s="140"/>
      <c r="K56" s="140"/>
      <c r="L56" s="140"/>
      <c r="M56" s="140"/>
      <c r="N56" s="140"/>
      <c r="O56" s="141"/>
      <c r="P56" s="141"/>
      <c r="Q56" s="141"/>
      <c r="R56" s="141"/>
      <c r="S56" s="141"/>
      <c r="T56" s="141"/>
      <c r="U56" s="141"/>
      <c r="V56" s="141"/>
      <c r="W56" s="141"/>
      <c r="X56" s="141"/>
      <c r="Y56" s="141"/>
      <c r="Z56" s="141">
        <f t="shared" si="7"/>
        <v>0</v>
      </c>
      <c r="AA56" s="145">
        <f t="shared" si="7"/>
        <v>0</v>
      </c>
      <c r="AB56" s="143"/>
      <c r="AC56" s="143"/>
      <c r="AD56" s="143"/>
      <c r="AE56" s="143"/>
      <c r="AF56" s="143"/>
      <c r="AG56" s="143"/>
      <c r="AH56" s="143"/>
      <c r="AJ56" s="140" t="s">
        <v>294</v>
      </c>
      <c r="AK56" s="140"/>
      <c r="AL56" s="140"/>
      <c r="AM56" s="140"/>
      <c r="AN56" s="140"/>
      <c r="AO56" s="140"/>
      <c r="AP56" s="140"/>
      <c r="AQ56" s="140"/>
      <c r="AR56" s="140"/>
      <c r="AS56" s="140"/>
      <c r="AT56" s="140"/>
      <c r="AU56" s="140"/>
      <c r="AV56" s="140"/>
      <c r="AW56" s="140"/>
      <c r="AX56" s="141"/>
      <c r="AY56" s="141"/>
      <c r="AZ56" s="141"/>
      <c r="BA56" s="141"/>
      <c r="BB56" s="141"/>
      <c r="BC56" s="141"/>
      <c r="BD56" s="141"/>
      <c r="BE56" s="141"/>
      <c r="BF56" s="141"/>
      <c r="BG56" s="141"/>
      <c r="BH56" s="141"/>
      <c r="BI56" s="141">
        <f t="shared" si="8"/>
        <v>0</v>
      </c>
      <c r="BJ56" s="145">
        <f t="shared" si="8"/>
        <v>0</v>
      </c>
      <c r="BK56" s="143"/>
      <c r="BL56" s="143"/>
      <c r="BM56" s="143"/>
      <c r="BN56" s="143"/>
      <c r="BO56" s="143"/>
      <c r="BP56" s="143"/>
      <c r="BQ56" s="340"/>
    </row>
    <row r="57" spans="1:69" x14ac:dyDescent="0.25">
      <c r="A57" s="338" t="s">
        <v>295</v>
      </c>
      <c r="B57" s="140"/>
      <c r="C57" s="140"/>
      <c r="D57" s="140"/>
      <c r="E57" s="140"/>
      <c r="F57" s="140"/>
      <c r="G57" s="140"/>
      <c r="H57" s="140"/>
      <c r="I57" s="140"/>
      <c r="J57" s="140"/>
      <c r="K57" s="140"/>
      <c r="L57" s="140"/>
      <c r="M57" s="140"/>
      <c r="N57" s="140"/>
      <c r="O57" s="141"/>
      <c r="P57" s="141"/>
      <c r="Q57" s="141"/>
      <c r="R57" s="141"/>
      <c r="S57" s="141"/>
      <c r="T57" s="141"/>
      <c r="U57" s="141"/>
      <c r="V57" s="141"/>
      <c r="W57" s="141"/>
      <c r="X57" s="141"/>
      <c r="Y57" s="141"/>
      <c r="Z57" s="141">
        <f t="shared" si="7"/>
        <v>0</v>
      </c>
      <c r="AA57" s="145">
        <f t="shared" si="7"/>
        <v>0</v>
      </c>
      <c r="AB57" s="143"/>
      <c r="AC57" s="143"/>
      <c r="AD57" s="143"/>
      <c r="AE57" s="143"/>
      <c r="AF57" s="143"/>
      <c r="AG57" s="143"/>
      <c r="AH57" s="143"/>
      <c r="AJ57" s="140" t="s">
        <v>295</v>
      </c>
      <c r="AK57" s="140"/>
      <c r="AL57" s="140"/>
      <c r="AM57" s="140"/>
      <c r="AN57" s="140"/>
      <c r="AO57" s="140"/>
      <c r="AP57" s="140"/>
      <c r="AQ57" s="140"/>
      <c r="AR57" s="140"/>
      <c r="AS57" s="140"/>
      <c r="AT57" s="140"/>
      <c r="AU57" s="140"/>
      <c r="AV57" s="140"/>
      <c r="AW57" s="140"/>
      <c r="AX57" s="141"/>
      <c r="AY57" s="141"/>
      <c r="AZ57" s="141"/>
      <c r="BA57" s="141"/>
      <c r="BB57" s="141"/>
      <c r="BC57" s="141"/>
      <c r="BD57" s="141"/>
      <c r="BE57" s="141"/>
      <c r="BF57" s="141"/>
      <c r="BG57" s="141"/>
      <c r="BH57" s="141"/>
      <c r="BI57" s="141">
        <f t="shared" si="8"/>
        <v>0</v>
      </c>
      <c r="BJ57" s="145">
        <f t="shared" si="8"/>
        <v>0</v>
      </c>
      <c r="BK57" s="143"/>
      <c r="BL57" s="143"/>
      <c r="BM57" s="143"/>
      <c r="BN57" s="143"/>
      <c r="BO57" s="143"/>
      <c r="BP57" s="143"/>
      <c r="BQ57" s="340"/>
    </row>
    <row r="58" spans="1:69" x14ac:dyDescent="0.25">
      <c r="A58" s="338" t="s">
        <v>296</v>
      </c>
      <c r="B58" s="140"/>
      <c r="C58" s="140"/>
      <c r="D58" s="140"/>
      <c r="E58" s="140"/>
      <c r="F58" s="140"/>
      <c r="G58" s="140"/>
      <c r="H58" s="140"/>
      <c r="I58" s="140"/>
      <c r="J58" s="140"/>
      <c r="K58" s="140"/>
      <c r="L58" s="140"/>
      <c r="M58" s="140"/>
      <c r="N58" s="140"/>
      <c r="O58" s="141"/>
      <c r="P58" s="141"/>
      <c r="Q58" s="141"/>
      <c r="R58" s="141"/>
      <c r="S58" s="141"/>
      <c r="T58" s="141"/>
      <c r="U58" s="141"/>
      <c r="V58" s="141"/>
      <c r="W58" s="141"/>
      <c r="X58" s="141"/>
      <c r="Y58" s="141"/>
      <c r="Z58" s="141">
        <f t="shared" si="7"/>
        <v>0</v>
      </c>
      <c r="AA58" s="145">
        <f t="shared" si="7"/>
        <v>0</v>
      </c>
      <c r="AB58" s="143"/>
      <c r="AC58" s="143"/>
      <c r="AD58" s="143"/>
      <c r="AE58" s="143"/>
      <c r="AF58" s="143"/>
      <c r="AG58" s="143"/>
      <c r="AH58" s="143"/>
      <c r="AJ58" s="140" t="s">
        <v>296</v>
      </c>
      <c r="AK58" s="140"/>
      <c r="AL58" s="140"/>
      <c r="AM58" s="140"/>
      <c r="AN58" s="140"/>
      <c r="AO58" s="140"/>
      <c r="AP58" s="140"/>
      <c r="AQ58" s="140"/>
      <c r="AR58" s="140"/>
      <c r="AS58" s="140"/>
      <c r="AT58" s="140"/>
      <c r="AU58" s="140"/>
      <c r="AV58" s="140"/>
      <c r="AW58" s="140"/>
      <c r="AX58" s="141"/>
      <c r="AY58" s="141"/>
      <c r="AZ58" s="141"/>
      <c r="BA58" s="141"/>
      <c r="BB58" s="141"/>
      <c r="BC58" s="141"/>
      <c r="BD58" s="141"/>
      <c r="BE58" s="141"/>
      <c r="BF58" s="141"/>
      <c r="BG58" s="141"/>
      <c r="BH58" s="141"/>
      <c r="BI58" s="141">
        <f t="shared" si="8"/>
        <v>0</v>
      </c>
      <c r="BJ58" s="145">
        <f t="shared" si="8"/>
        <v>0</v>
      </c>
      <c r="BK58" s="143"/>
      <c r="BL58" s="143"/>
      <c r="BM58" s="143"/>
      <c r="BN58" s="143"/>
      <c r="BO58" s="143"/>
      <c r="BP58" s="143"/>
      <c r="BQ58" s="340"/>
    </row>
    <row r="59" spans="1:69" x14ac:dyDescent="0.25">
      <c r="A59" s="338" t="s">
        <v>297</v>
      </c>
      <c r="B59" s="140"/>
      <c r="C59" s="140"/>
      <c r="D59" s="140"/>
      <c r="E59" s="140"/>
      <c r="F59" s="140"/>
      <c r="G59" s="140"/>
      <c r="H59" s="140"/>
      <c r="I59" s="140"/>
      <c r="J59" s="140"/>
      <c r="K59" s="140"/>
      <c r="L59" s="140"/>
      <c r="M59" s="140"/>
      <c r="N59" s="140"/>
      <c r="O59" s="141"/>
      <c r="P59" s="141"/>
      <c r="Q59" s="141"/>
      <c r="R59" s="141"/>
      <c r="S59" s="141"/>
      <c r="T59" s="141"/>
      <c r="U59" s="141"/>
      <c r="V59" s="141"/>
      <c r="W59" s="141"/>
      <c r="X59" s="141"/>
      <c r="Y59" s="141"/>
      <c r="Z59" s="141">
        <f t="shared" si="7"/>
        <v>0</v>
      </c>
      <c r="AA59" s="145">
        <f t="shared" si="7"/>
        <v>0</v>
      </c>
      <c r="AB59" s="143"/>
      <c r="AC59" s="143"/>
      <c r="AD59" s="143"/>
      <c r="AE59" s="143"/>
      <c r="AF59" s="143"/>
      <c r="AG59" s="143"/>
      <c r="AH59" s="143"/>
      <c r="AJ59" s="140" t="s">
        <v>297</v>
      </c>
      <c r="AK59" s="140"/>
      <c r="AL59" s="140"/>
      <c r="AM59" s="140"/>
      <c r="AN59" s="140"/>
      <c r="AO59" s="140"/>
      <c r="AP59" s="140"/>
      <c r="AQ59" s="140"/>
      <c r="AR59" s="140"/>
      <c r="AS59" s="140"/>
      <c r="AT59" s="140"/>
      <c r="AU59" s="140"/>
      <c r="AV59" s="140"/>
      <c r="AW59" s="140"/>
      <c r="AX59" s="141"/>
      <c r="AY59" s="141"/>
      <c r="AZ59" s="141"/>
      <c r="BA59" s="141"/>
      <c r="BB59" s="141"/>
      <c r="BC59" s="141"/>
      <c r="BD59" s="141"/>
      <c r="BE59" s="141"/>
      <c r="BF59" s="141"/>
      <c r="BG59" s="141"/>
      <c r="BH59" s="141"/>
      <c r="BI59" s="141">
        <f t="shared" si="8"/>
        <v>0</v>
      </c>
      <c r="BJ59" s="145">
        <f t="shared" si="8"/>
        <v>0</v>
      </c>
      <c r="BK59" s="143"/>
      <c r="BL59" s="143"/>
      <c r="BM59" s="143"/>
      <c r="BN59" s="143"/>
      <c r="BO59" s="143"/>
      <c r="BP59" s="143"/>
      <c r="BQ59" s="340"/>
    </row>
    <row r="60" spans="1:69" x14ac:dyDescent="0.25">
      <c r="A60" s="338" t="s">
        <v>298</v>
      </c>
      <c r="B60" s="140"/>
      <c r="C60" s="140"/>
      <c r="D60" s="140"/>
      <c r="E60" s="140"/>
      <c r="F60" s="140"/>
      <c r="G60" s="140"/>
      <c r="H60" s="140"/>
      <c r="I60" s="140"/>
      <c r="J60" s="140"/>
      <c r="K60" s="140"/>
      <c r="L60" s="140"/>
      <c r="M60" s="140"/>
      <c r="N60" s="140"/>
      <c r="O60" s="141"/>
      <c r="P60" s="141"/>
      <c r="Q60" s="141"/>
      <c r="R60" s="141"/>
      <c r="S60" s="141"/>
      <c r="T60" s="141"/>
      <c r="U60" s="141"/>
      <c r="V60" s="141"/>
      <c r="W60" s="141"/>
      <c r="X60" s="141"/>
      <c r="Y60" s="141"/>
      <c r="Z60" s="141">
        <f t="shared" si="7"/>
        <v>0</v>
      </c>
      <c r="AA60" s="145">
        <f t="shared" si="7"/>
        <v>0</v>
      </c>
      <c r="AB60" s="143"/>
      <c r="AC60" s="143"/>
      <c r="AD60" s="143"/>
      <c r="AE60" s="143"/>
      <c r="AF60" s="143"/>
      <c r="AG60" s="143"/>
      <c r="AH60" s="143"/>
      <c r="AJ60" s="140" t="s">
        <v>298</v>
      </c>
      <c r="AK60" s="140"/>
      <c r="AL60" s="140"/>
      <c r="AM60" s="140"/>
      <c r="AN60" s="140"/>
      <c r="AO60" s="140"/>
      <c r="AP60" s="140"/>
      <c r="AQ60" s="140"/>
      <c r="AR60" s="140"/>
      <c r="AS60" s="140"/>
      <c r="AT60" s="140"/>
      <c r="AU60" s="140"/>
      <c r="AV60" s="140"/>
      <c r="AW60" s="140"/>
      <c r="AX60" s="141"/>
      <c r="AY60" s="141"/>
      <c r="AZ60" s="141"/>
      <c r="BA60" s="141"/>
      <c r="BB60" s="141"/>
      <c r="BC60" s="141"/>
      <c r="BD60" s="141"/>
      <c r="BE60" s="141"/>
      <c r="BF60" s="141"/>
      <c r="BG60" s="141"/>
      <c r="BH60" s="141"/>
      <c r="BI60" s="141">
        <f t="shared" si="8"/>
        <v>0</v>
      </c>
      <c r="BJ60" s="145">
        <f t="shared" si="8"/>
        <v>0</v>
      </c>
      <c r="BK60" s="143"/>
      <c r="BL60" s="143"/>
      <c r="BM60" s="143"/>
      <c r="BN60" s="143"/>
      <c r="BO60" s="143"/>
      <c r="BP60" s="143"/>
      <c r="BQ60" s="340"/>
    </row>
    <row r="61" spans="1:69" x14ac:dyDescent="0.25">
      <c r="A61" s="341" t="s">
        <v>299</v>
      </c>
      <c r="B61" s="142">
        <f>SUM(B41:B60)</f>
        <v>70</v>
      </c>
      <c r="C61" s="142">
        <f t="shared" ref="C61:AH61" si="10">SUM(C41:C60)</f>
        <v>0</v>
      </c>
      <c r="D61" s="142">
        <f t="shared" si="10"/>
        <v>165</v>
      </c>
      <c r="E61" s="142">
        <f t="shared" si="10"/>
        <v>0</v>
      </c>
      <c r="F61" s="142">
        <f t="shared" si="10"/>
        <v>165</v>
      </c>
      <c r="G61" s="142">
        <f t="shared" si="10"/>
        <v>0</v>
      </c>
      <c r="H61" s="142">
        <f t="shared" si="10"/>
        <v>0</v>
      </c>
      <c r="I61" s="142">
        <f t="shared" si="10"/>
        <v>0</v>
      </c>
      <c r="J61" s="142">
        <f t="shared" si="10"/>
        <v>0</v>
      </c>
      <c r="K61" s="142">
        <f t="shared" si="10"/>
        <v>0</v>
      </c>
      <c r="L61" s="142">
        <f t="shared" si="10"/>
        <v>0</v>
      </c>
      <c r="M61" s="142">
        <f t="shared" si="10"/>
        <v>0</v>
      </c>
      <c r="N61" s="142">
        <f t="shared" si="10"/>
        <v>0</v>
      </c>
      <c r="O61" s="142">
        <f t="shared" si="10"/>
        <v>0</v>
      </c>
      <c r="P61" s="142">
        <f t="shared" si="10"/>
        <v>0</v>
      </c>
      <c r="Q61" s="142">
        <f t="shared" si="10"/>
        <v>0</v>
      </c>
      <c r="R61" s="142">
        <f t="shared" si="10"/>
        <v>0</v>
      </c>
      <c r="S61" s="142">
        <f t="shared" si="10"/>
        <v>0</v>
      </c>
      <c r="T61" s="142">
        <f t="shared" si="10"/>
        <v>0</v>
      </c>
      <c r="U61" s="142">
        <f t="shared" si="10"/>
        <v>0</v>
      </c>
      <c r="V61" s="142">
        <f t="shared" si="10"/>
        <v>0</v>
      </c>
      <c r="W61" s="142">
        <f t="shared" si="10"/>
        <v>0</v>
      </c>
      <c r="X61" s="142">
        <f t="shared" si="10"/>
        <v>0</v>
      </c>
      <c r="Y61" s="142">
        <f t="shared" si="10"/>
        <v>0</v>
      </c>
      <c r="Z61" s="142">
        <f t="shared" si="10"/>
        <v>400</v>
      </c>
      <c r="AA61" s="142">
        <f t="shared" si="10"/>
        <v>0</v>
      </c>
      <c r="AB61" s="142">
        <v>129</v>
      </c>
      <c r="AC61" s="142">
        <f t="shared" si="10"/>
        <v>0</v>
      </c>
      <c r="AD61" s="142">
        <f t="shared" si="10"/>
        <v>0</v>
      </c>
      <c r="AE61" s="142">
        <f t="shared" si="10"/>
        <v>0</v>
      </c>
      <c r="AF61" s="142">
        <f t="shared" si="10"/>
        <v>45</v>
      </c>
      <c r="AG61" s="142">
        <f t="shared" si="10"/>
        <v>83</v>
      </c>
      <c r="AH61" s="142">
        <f t="shared" si="10"/>
        <v>1</v>
      </c>
      <c r="AJ61" s="144" t="s">
        <v>299</v>
      </c>
      <c r="AK61" s="142">
        <f t="shared" ref="AK61:BQ61" si="11">SUM(AK41:AK60)</f>
        <v>104</v>
      </c>
      <c r="AL61" s="142">
        <f t="shared" si="11"/>
        <v>0</v>
      </c>
      <c r="AM61" s="142">
        <f t="shared" si="11"/>
        <v>177</v>
      </c>
      <c r="AN61" s="142">
        <f t="shared" si="11"/>
        <v>0</v>
      </c>
      <c r="AO61" s="142">
        <f t="shared" si="11"/>
        <v>190</v>
      </c>
      <c r="AP61" s="142">
        <f t="shared" si="11"/>
        <v>0</v>
      </c>
      <c r="AQ61" s="142">
        <f t="shared" si="11"/>
        <v>130</v>
      </c>
      <c r="AR61" s="142">
        <f t="shared" si="11"/>
        <v>0</v>
      </c>
      <c r="AS61" s="142">
        <f t="shared" si="11"/>
        <v>201</v>
      </c>
      <c r="AT61" s="142">
        <f t="shared" si="11"/>
        <v>0</v>
      </c>
      <c r="AU61" s="142">
        <f t="shared" si="11"/>
        <v>214</v>
      </c>
      <c r="AV61" s="142">
        <f t="shared" si="11"/>
        <v>0</v>
      </c>
      <c r="AW61" s="142">
        <f t="shared" si="11"/>
        <v>202</v>
      </c>
      <c r="AX61" s="142">
        <f t="shared" si="11"/>
        <v>0</v>
      </c>
      <c r="AY61" s="142">
        <f t="shared" si="11"/>
        <v>258</v>
      </c>
      <c r="AZ61" s="142">
        <f t="shared" si="11"/>
        <v>0</v>
      </c>
      <c r="BA61" s="142">
        <f t="shared" si="11"/>
        <v>254</v>
      </c>
      <c r="BB61" s="142">
        <f t="shared" si="11"/>
        <v>0</v>
      </c>
      <c r="BC61" s="142">
        <f t="shared" si="11"/>
        <v>227</v>
      </c>
      <c r="BD61" s="142">
        <f t="shared" si="11"/>
        <v>0</v>
      </c>
      <c r="BE61" s="142">
        <f t="shared" si="11"/>
        <v>243</v>
      </c>
      <c r="BF61" s="142">
        <f t="shared" si="11"/>
        <v>0</v>
      </c>
      <c r="BG61" s="142">
        <f t="shared" si="11"/>
        <v>155</v>
      </c>
      <c r="BH61" s="142">
        <f t="shared" si="11"/>
        <v>0</v>
      </c>
      <c r="BI61" s="142">
        <f t="shared" si="11"/>
        <v>2355</v>
      </c>
      <c r="BJ61" s="142">
        <f t="shared" si="11"/>
        <v>0</v>
      </c>
      <c r="BK61" s="142">
        <v>129</v>
      </c>
      <c r="BL61" s="142">
        <f t="shared" si="11"/>
        <v>0</v>
      </c>
      <c r="BM61" s="142">
        <f t="shared" si="11"/>
        <v>0</v>
      </c>
      <c r="BN61" s="142">
        <f t="shared" si="11"/>
        <v>0</v>
      </c>
      <c r="BO61" s="142">
        <f t="shared" si="11"/>
        <v>50</v>
      </c>
      <c r="BP61" s="142">
        <f t="shared" si="11"/>
        <v>70</v>
      </c>
      <c r="BQ61" s="342">
        <f t="shared" si="11"/>
        <v>0</v>
      </c>
    </row>
    <row r="62" spans="1:69" x14ac:dyDescent="0.25">
      <c r="A62" s="325"/>
      <c r="BQ62" s="326"/>
    </row>
    <row r="63" spans="1:69" ht="28.5" x14ac:dyDescent="0.25">
      <c r="A63" s="332" t="s">
        <v>262</v>
      </c>
      <c r="B63" s="917" t="s">
        <v>561</v>
      </c>
      <c r="C63" s="917"/>
      <c r="D63" s="917"/>
      <c r="E63" s="917"/>
      <c r="F63" s="917"/>
      <c r="G63" s="917"/>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7"/>
      <c r="AY63" s="917"/>
      <c r="AZ63" s="917"/>
      <c r="BA63" s="917"/>
      <c r="BB63" s="917"/>
      <c r="BC63" s="917"/>
      <c r="BD63" s="917"/>
      <c r="BE63" s="917"/>
      <c r="BF63" s="917"/>
      <c r="BG63" s="917"/>
      <c r="BH63" s="917"/>
      <c r="BI63" s="917"/>
      <c r="BJ63" s="917"/>
      <c r="BK63" s="917"/>
      <c r="BL63" s="917"/>
      <c r="BM63" s="917"/>
      <c r="BN63" s="917"/>
      <c r="BO63" s="917"/>
      <c r="BP63" s="917"/>
      <c r="BQ63" s="918"/>
    </row>
    <row r="64" spans="1:69" ht="29.25" customHeight="1" x14ac:dyDescent="0.25">
      <c r="A64" s="333" t="s">
        <v>263</v>
      </c>
      <c r="B64" s="926" t="s">
        <v>302</v>
      </c>
      <c r="C64" s="917"/>
      <c r="D64" s="917"/>
      <c r="E64" s="917"/>
      <c r="F64" s="917"/>
      <c r="G64" s="917"/>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7"/>
      <c r="AY64" s="917"/>
      <c r="AZ64" s="917"/>
      <c r="BA64" s="917"/>
      <c r="BB64" s="917"/>
      <c r="BC64" s="917"/>
      <c r="BD64" s="917"/>
      <c r="BE64" s="917"/>
      <c r="BF64" s="917"/>
      <c r="BG64" s="917"/>
      <c r="BH64" s="917"/>
      <c r="BI64" s="917"/>
      <c r="BJ64" s="917"/>
      <c r="BK64" s="917"/>
      <c r="BL64" s="917"/>
      <c r="BM64" s="917"/>
      <c r="BN64" s="917"/>
      <c r="BO64" s="917"/>
      <c r="BP64" s="917"/>
      <c r="BQ64" s="918"/>
    </row>
    <row r="65" spans="1:69" ht="6" customHeight="1" x14ac:dyDescent="0.25">
      <c r="A65" s="334"/>
      <c r="B65" s="335"/>
      <c r="C65" s="335"/>
      <c r="D65" s="335"/>
      <c r="E65" s="335"/>
      <c r="F65" s="335"/>
      <c r="G65" s="335"/>
      <c r="H65" s="335"/>
      <c r="I65" s="335"/>
      <c r="J65" s="335"/>
      <c r="K65" s="335"/>
      <c r="L65" s="335"/>
      <c r="M65" s="335"/>
      <c r="N65" s="335"/>
      <c r="O65" s="336"/>
      <c r="P65" s="336"/>
      <c r="Q65" s="336"/>
      <c r="R65" s="336"/>
      <c r="S65" s="336"/>
      <c r="T65" s="336"/>
      <c r="U65" s="336"/>
      <c r="V65" s="336"/>
      <c r="W65" s="336"/>
      <c r="X65" s="336"/>
      <c r="Y65" s="336"/>
      <c r="Z65" s="336"/>
      <c r="AA65" s="336"/>
      <c r="AB65" s="336"/>
      <c r="AC65" s="336"/>
      <c r="AD65" s="336"/>
      <c r="AE65" s="336"/>
      <c r="AF65" s="336"/>
      <c r="AG65" s="336"/>
      <c r="AH65" s="336"/>
      <c r="AJ65" s="335"/>
      <c r="AK65" s="336"/>
      <c r="AL65" s="336"/>
      <c r="AM65" s="336"/>
      <c r="AN65" s="336"/>
      <c r="AO65" s="336"/>
      <c r="AP65" s="336"/>
      <c r="AQ65" s="336"/>
      <c r="AR65" s="336"/>
      <c r="AS65" s="336"/>
      <c r="AT65" s="336"/>
      <c r="AU65" s="336"/>
      <c r="AV65" s="336"/>
      <c r="BQ65" s="326"/>
    </row>
    <row r="66" spans="1:69" ht="30" customHeight="1" x14ac:dyDescent="0.25">
      <c r="A66" s="913" t="s">
        <v>265</v>
      </c>
      <c r="B66" s="915" t="s">
        <v>30</v>
      </c>
      <c r="C66" s="916"/>
      <c r="D66" s="915" t="s">
        <v>31</v>
      </c>
      <c r="E66" s="916"/>
      <c r="F66" s="915" t="s">
        <v>32</v>
      </c>
      <c r="G66" s="916"/>
      <c r="H66" s="915" t="s">
        <v>33</v>
      </c>
      <c r="I66" s="916"/>
      <c r="J66" s="915" t="s">
        <v>34</v>
      </c>
      <c r="K66" s="916"/>
      <c r="L66" s="915" t="s">
        <v>35</v>
      </c>
      <c r="M66" s="916"/>
      <c r="N66" s="915" t="s">
        <v>8</v>
      </c>
      <c r="O66" s="916"/>
      <c r="P66" s="915" t="s">
        <v>36</v>
      </c>
      <c r="Q66" s="916"/>
      <c r="R66" s="915" t="s">
        <v>37</v>
      </c>
      <c r="S66" s="916"/>
      <c r="T66" s="915" t="s">
        <v>38</v>
      </c>
      <c r="U66" s="916"/>
      <c r="V66" s="915" t="s">
        <v>39</v>
      </c>
      <c r="W66" s="916"/>
      <c r="X66" s="915" t="s">
        <v>40</v>
      </c>
      <c r="Y66" s="916"/>
      <c r="Z66" s="915" t="s">
        <v>266</v>
      </c>
      <c r="AA66" s="916"/>
      <c r="AB66" s="922" t="s">
        <v>267</v>
      </c>
      <c r="AC66" s="915" t="s">
        <v>268</v>
      </c>
      <c r="AD66" s="924"/>
      <c r="AE66" s="924"/>
      <c r="AF66" s="924"/>
      <c r="AG66" s="924"/>
      <c r="AH66" s="916"/>
      <c r="AJ66" s="922" t="s">
        <v>265</v>
      </c>
      <c r="AK66" s="915" t="s">
        <v>30</v>
      </c>
      <c r="AL66" s="916"/>
      <c r="AM66" s="915" t="s">
        <v>31</v>
      </c>
      <c r="AN66" s="916"/>
      <c r="AO66" s="915" t="s">
        <v>32</v>
      </c>
      <c r="AP66" s="916"/>
      <c r="AQ66" s="915" t="s">
        <v>33</v>
      </c>
      <c r="AR66" s="916"/>
      <c r="AS66" s="915" t="s">
        <v>34</v>
      </c>
      <c r="AT66" s="916"/>
      <c r="AU66" s="915" t="s">
        <v>35</v>
      </c>
      <c r="AV66" s="916"/>
      <c r="AW66" s="915" t="s">
        <v>8</v>
      </c>
      <c r="AX66" s="916"/>
      <c r="AY66" s="915" t="s">
        <v>36</v>
      </c>
      <c r="AZ66" s="916"/>
      <c r="BA66" s="915" t="s">
        <v>37</v>
      </c>
      <c r="BB66" s="916"/>
      <c r="BC66" s="915" t="s">
        <v>38</v>
      </c>
      <c r="BD66" s="916"/>
      <c r="BE66" s="915" t="s">
        <v>39</v>
      </c>
      <c r="BF66" s="916"/>
      <c r="BG66" s="915" t="s">
        <v>40</v>
      </c>
      <c r="BH66" s="916"/>
      <c r="BI66" s="915" t="s">
        <v>266</v>
      </c>
      <c r="BJ66" s="916"/>
      <c r="BK66" s="922" t="s">
        <v>267</v>
      </c>
      <c r="BL66" s="915" t="s">
        <v>268</v>
      </c>
      <c r="BM66" s="924"/>
      <c r="BN66" s="924"/>
      <c r="BO66" s="924"/>
      <c r="BP66" s="924"/>
      <c r="BQ66" s="925"/>
    </row>
    <row r="67" spans="1:69" ht="28.5" customHeight="1" x14ac:dyDescent="0.25">
      <c r="A67" s="914"/>
      <c r="B67" s="360" t="s">
        <v>269</v>
      </c>
      <c r="C67" s="360" t="s">
        <v>270</v>
      </c>
      <c r="D67" s="360" t="s">
        <v>269</v>
      </c>
      <c r="E67" s="360" t="s">
        <v>270</v>
      </c>
      <c r="F67" s="360" t="s">
        <v>269</v>
      </c>
      <c r="G67" s="360" t="s">
        <v>270</v>
      </c>
      <c r="H67" s="360" t="s">
        <v>269</v>
      </c>
      <c r="I67" s="360" t="s">
        <v>270</v>
      </c>
      <c r="J67" s="360" t="s">
        <v>269</v>
      </c>
      <c r="K67" s="360" t="s">
        <v>270</v>
      </c>
      <c r="L67" s="360" t="s">
        <v>269</v>
      </c>
      <c r="M67" s="360" t="s">
        <v>270</v>
      </c>
      <c r="N67" s="360" t="s">
        <v>269</v>
      </c>
      <c r="O67" s="360" t="s">
        <v>270</v>
      </c>
      <c r="P67" s="360" t="s">
        <v>269</v>
      </c>
      <c r="Q67" s="360" t="s">
        <v>270</v>
      </c>
      <c r="R67" s="360" t="s">
        <v>269</v>
      </c>
      <c r="S67" s="360" t="s">
        <v>270</v>
      </c>
      <c r="T67" s="360" t="s">
        <v>269</v>
      </c>
      <c r="U67" s="360" t="s">
        <v>270</v>
      </c>
      <c r="V67" s="360" t="s">
        <v>269</v>
      </c>
      <c r="W67" s="360" t="s">
        <v>270</v>
      </c>
      <c r="X67" s="360" t="s">
        <v>269</v>
      </c>
      <c r="Y67" s="360" t="s">
        <v>270</v>
      </c>
      <c r="Z67" s="360" t="s">
        <v>269</v>
      </c>
      <c r="AA67" s="360" t="s">
        <v>270</v>
      </c>
      <c r="AB67" s="923"/>
      <c r="AC67" s="360" t="s">
        <v>271</v>
      </c>
      <c r="AD67" s="139" t="s">
        <v>272</v>
      </c>
      <c r="AE67" s="360" t="s">
        <v>273</v>
      </c>
      <c r="AF67" s="360" t="s">
        <v>274</v>
      </c>
      <c r="AG67" s="360" t="s">
        <v>275</v>
      </c>
      <c r="AH67" s="360" t="s">
        <v>276</v>
      </c>
      <c r="AJ67" s="923"/>
      <c r="AK67" s="360" t="s">
        <v>269</v>
      </c>
      <c r="AL67" s="360" t="s">
        <v>270</v>
      </c>
      <c r="AM67" s="360" t="s">
        <v>269</v>
      </c>
      <c r="AN67" s="360" t="s">
        <v>270</v>
      </c>
      <c r="AO67" s="360" t="s">
        <v>269</v>
      </c>
      <c r="AP67" s="360" t="s">
        <v>270</v>
      </c>
      <c r="AQ67" s="360" t="s">
        <v>269</v>
      </c>
      <c r="AR67" s="360" t="s">
        <v>270</v>
      </c>
      <c r="AS67" s="360" t="s">
        <v>269</v>
      </c>
      <c r="AT67" s="360" t="s">
        <v>270</v>
      </c>
      <c r="AU67" s="360" t="s">
        <v>269</v>
      </c>
      <c r="AV67" s="360" t="s">
        <v>270</v>
      </c>
      <c r="AW67" s="360" t="s">
        <v>269</v>
      </c>
      <c r="AX67" s="360" t="s">
        <v>270</v>
      </c>
      <c r="AY67" s="360" t="s">
        <v>269</v>
      </c>
      <c r="AZ67" s="360" t="s">
        <v>270</v>
      </c>
      <c r="BA67" s="360" t="s">
        <v>269</v>
      </c>
      <c r="BB67" s="360" t="s">
        <v>270</v>
      </c>
      <c r="BC67" s="360" t="s">
        <v>269</v>
      </c>
      <c r="BD67" s="360" t="s">
        <v>270</v>
      </c>
      <c r="BE67" s="360" t="s">
        <v>269</v>
      </c>
      <c r="BF67" s="360" t="s">
        <v>270</v>
      </c>
      <c r="BG67" s="360" t="s">
        <v>269</v>
      </c>
      <c r="BH67" s="360" t="s">
        <v>270</v>
      </c>
      <c r="BI67" s="360" t="s">
        <v>269</v>
      </c>
      <c r="BJ67" s="360" t="s">
        <v>270</v>
      </c>
      <c r="BK67" s="923"/>
      <c r="BL67" s="360" t="s">
        <v>271</v>
      </c>
      <c r="BM67" s="139" t="s">
        <v>272</v>
      </c>
      <c r="BN67" s="360" t="s">
        <v>273</v>
      </c>
      <c r="BO67" s="360" t="s">
        <v>274</v>
      </c>
      <c r="BP67" s="360" t="s">
        <v>275</v>
      </c>
      <c r="BQ67" s="337" t="s">
        <v>276</v>
      </c>
    </row>
    <row r="68" spans="1:69" ht="165" x14ac:dyDescent="0.25">
      <c r="A68" s="338" t="s">
        <v>277</v>
      </c>
      <c r="B68" s="140">
        <v>150</v>
      </c>
      <c r="C68" s="140"/>
      <c r="D68" s="140">
        <v>370</v>
      </c>
      <c r="E68" s="140"/>
      <c r="F68" s="140">
        <v>370</v>
      </c>
      <c r="G68" s="140"/>
      <c r="H68" s="140"/>
      <c r="I68" s="140"/>
      <c r="J68" s="140"/>
      <c r="K68" s="140"/>
      <c r="L68" s="140"/>
      <c r="M68" s="140"/>
      <c r="N68" s="140"/>
      <c r="O68" s="141"/>
      <c r="P68" s="141"/>
      <c r="Q68" s="141"/>
      <c r="R68" s="141"/>
      <c r="S68" s="141"/>
      <c r="T68" s="141"/>
      <c r="U68" s="141"/>
      <c r="V68" s="141"/>
      <c r="W68" s="141"/>
      <c r="X68" s="141"/>
      <c r="Y68" s="141"/>
      <c r="Z68" s="141">
        <f>B68+D68+F68+H68+J68+L68+N68+P68+R68+T68+V68+X68</f>
        <v>890</v>
      </c>
      <c r="AA68" s="145">
        <f>C68+E68+G68+I68+K68+M68+O68+Q68+S68+U68+W68+Y68</f>
        <v>0</v>
      </c>
      <c r="AB68" s="265" t="s">
        <v>303</v>
      </c>
      <c r="AC68" s="140">
        <v>0</v>
      </c>
      <c r="AD68" s="140">
        <v>0</v>
      </c>
      <c r="AE68" s="140">
        <v>0</v>
      </c>
      <c r="AF68" s="140">
        <v>128</v>
      </c>
      <c r="AG68" s="140">
        <v>251</v>
      </c>
      <c r="AH68" s="265">
        <v>6</v>
      </c>
      <c r="AJ68" s="140" t="s">
        <v>277</v>
      </c>
      <c r="AK68" s="140">
        <v>338</v>
      </c>
      <c r="AL68" s="140"/>
      <c r="AM68" s="140">
        <v>578</v>
      </c>
      <c r="AN68" s="140"/>
      <c r="AO68" s="140">
        <v>562</v>
      </c>
      <c r="AP68" s="140"/>
      <c r="AQ68" s="140">
        <v>445</v>
      </c>
      <c r="AR68" s="140"/>
      <c r="AS68" s="140">
        <v>530</v>
      </c>
      <c r="AT68" s="140"/>
      <c r="AU68" s="140">
        <v>500</v>
      </c>
      <c r="AV68" s="140"/>
      <c r="AW68" s="140">
        <v>618</v>
      </c>
      <c r="AX68" s="141"/>
      <c r="AY68" s="141">
        <v>608</v>
      </c>
      <c r="AZ68" s="141"/>
      <c r="BA68" s="141">
        <v>552</v>
      </c>
      <c r="BB68" s="141"/>
      <c r="BC68" s="141">
        <v>442</v>
      </c>
      <c r="BD68" s="141"/>
      <c r="BE68" s="141">
        <v>560</v>
      </c>
      <c r="BF68" s="141"/>
      <c r="BG68" s="141">
        <v>419</v>
      </c>
      <c r="BH68" s="141"/>
      <c r="BI68" s="141">
        <f>AK68+AM68+AO68+AQ68+AS68+AU68+AW68+AY68+BA68+BC68+BE68+BG68</f>
        <v>6152</v>
      </c>
      <c r="BJ68" s="145">
        <f>AL68+AN68+AP68+AR68+AT68+AV68+AX68+AZ68+BB68+BD68+BF68+BH68</f>
        <v>0</v>
      </c>
      <c r="BK68" s="265" t="s">
        <v>565</v>
      </c>
      <c r="BL68" s="140">
        <v>0</v>
      </c>
      <c r="BM68" s="140">
        <v>0</v>
      </c>
      <c r="BN68" s="140">
        <v>0</v>
      </c>
      <c r="BO68" s="140">
        <v>122</v>
      </c>
      <c r="BP68" s="140">
        <v>167</v>
      </c>
      <c r="BQ68" s="339">
        <v>4</v>
      </c>
    </row>
    <row r="69" spans="1:69" x14ac:dyDescent="0.25">
      <c r="A69" s="338" t="s">
        <v>279</v>
      </c>
      <c r="B69" s="140"/>
      <c r="C69" s="140"/>
      <c r="D69" s="140"/>
      <c r="E69" s="140"/>
      <c r="F69" s="140"/>
      <c r="G69" s="140"/>
      <c r="H69" s="140"/>
      <c r="I69" s="140"/>
      <c r="J69" s="140"/>
      <c r="K69" s="140"/>
      <c r="L69" s="140"/>
      <c r="M69" s="140"/>
      <c r="N69" s="140"/>
      <c r="O69" s="141"/>
      <c r="P69" s="141"/>
      <c r="Q69" s="141"/>
      <c r="R69" s="141"/>
      <c r="S69" s="141"/>
      <c r="T69" s="141"/>
      <c r="U69" s="141"/>
      <c r="V69" s="141"/>
      <c r="W69" s="141"/>
      <c r="X69" s="141"/>
      <c r="Y69" s="141"/>
      <c r="Z69" s="141">
        <f t="shared" ref="Z69:AA88" si="12">B69+D69+F69+H69+J69+L69+N69+P69+R69+T69+V69+X69</f>
        <v>0</v>
      </c>
      <c r="AA69" s="145">
        <f t="shared" si="12"/>
        <v>0</v>
      </c>
      <c r="AB69" s="143"/>
      <c r="AC69" s="143"/>
      <c r="AD69" s="143"/>
      <c r="AE69" s="143"/>
      <c r="AF69" s="143"/>
      <c r="AG69" s="143"/>
      <c r="AH69" s="143"/>
      <c r="AJ69" s="140" t="s">
        <v>279</v>
      </c>
      <c r="AK69" s="140"/>
      <c r="AL69" s="140"/>
      <c r="AM69" s="140"/>
      <c r="AN69" s="140"/>
      <c r="AO69" s="140"/>
      <c r="AP69" s="140"/>
      <c r="AQ69" s="140"/>
      <c r="AR69" s="140"/>
      <c r="AS69" s="140"/>
      <c r="AT69" s="140"/>
      <c r="AU69" s="140"/>
      <c r="AV69" s="140"/>
      <c r="AW69" s="140"/>
      <c r="AX69" s="141"/>
      <c r="AY69" s="141"/>
      <c r="AZ69" s="141"/>
      <c r="BA69" s="141"/>
      <c r="BB69" s="141"/>
      <c r="BC69" s="141"/>
      <c r="BD69" s="141"/>
      <c r="BE69" s="141"/>
      <c r="BF69" s="141"/>
      <c r="BG69" s="141"/>
      <c r="BH69" s="141"/>
      <c r="BI69" s="141">
        <f t="shared" ref="BI69:BJ88" si="13">AK69+AM69+AO69+AQ69+AS69+AU69+AW69+AY69+BA69+BC69+BE69+BG69</f>
        <v>0</v>
      </c>
      <c r="BJ69" s="145">
        <f t="shared" si="13"/>
        <v>0</v>
      </c>
      <c r="BK69" s="143"/>
      <c r="BL69" s="143"/>
      <c r="BM69" s="143"/>
      <c r="BN69" s="143"/>
      <c r="BO69" s="143"/>
      <c r="BP69" s="143"/>
      <c r="BQ69" s="340"/>
    </row>
    <row r="70" spans="1:69" x14ac:dyDescent="0.25">
      <c r="A70" s="338" t="s">
        <v>280</v>
      </c>
      <c r="B70" s="140"/>
      <c r="C70" s="140"/>
      <c r="D70" s="140"/>
      <c r="E70" s="140"/>
      <c r="F70" s="140"/>
      <c r="G70" s="140"/>
      <c r="H70" s="140"/>
      <c r="I70" s="140"/>
      <c r="J70" s="140"/>
      <c r="K70" s="140"/>
      <c r="L70" s="140"/>
      <c r="M70" s="140"/>
      <c r="N70" s="140"/>
      <c r="O70" s="141"/>
      <c r="P70" s="141"/>
      <c r="Q70" s="141"/>
      <c r="R70" s="141"/>
      <c r="S70" s="141"/>
      <c r="T70" s="141"/>
      <c r="U70" s="141"/>
      <c r="V70" s="141"/>
      <c r="W70" s="141"/>
      <c r="X70" s="141"/>
      <c r="Y70" s="141"/>
      <c r="Z70" s="141">
        <f t="shared" si="12"/>
        <v>0</v>
      </c>
      <c r="AA70" s="145">
        <f t="shared" si="12"/>
        <v>0</v>
      </c>
      <c r="AB70" s="143"/>
      <c r="AC70" s="143"/>
      <c r="AD70" s="143"/>
      <c r="AE70" s="143"/>
      <c r="AF70" s="143"/>
      <c r="AG70" s="143"/>
      <c r="AH70" s="143"/>
      <c r="AJ70" s="140" t="s">
        <v>280</v>
      </c>
      <c r="AK70" s="140"/>
      <c r="AL70" s="140"/>
      <c r="AM70" s="140"/>
      <c r="AN70" s="140"/>
      <c r="AO70" s="140"/>
      <c r="AP70" s="140"/>
      <c r="AQ70" s="140"/>
      <c r="AR70" s="140"/>
      <c r="AS70" s="140"/>
      <c r="AT70" s="140"/>
      <c r="AU70" s="140"/>
      <c r="AV70" s="140"/>
      <c r="AW70" s="140"/>
      <c r="AX70" s="141"/>
      <c r="AY70" s="141"/>
      <c r="AZ70" s="141"/>
      <c r="BA70" s="141"/>
      <c r="BB70" s="141"/>
      <c r="BC70" s="141"/>
      <c r="BD70" s="141"/>
      <c r="BE70" s="141"/>
      <c r="BF70" s="141"/>
      <c r="BG70" s="141"/>
      <c r="BH70" s="141"/>
      <c r="BI70" s="141">
        <f t="shared" si="13"/>
        <v>0</v>
      </c>
      <c r="BJ70" s="145">
        <f t="shared" si="13"/>
        <v>0</v>
      </c>
      <c r="BK70" s="143"/>
      <c r="BL70" s="143"/>
      <c r="BM70" s="143"/>
      <c r="BN70" s="143"/>
      <c r="BO70" s="143"/>
      <c r="BP70" s="143"/>
      <c r="BQ70" s="340"/>
    </row>
    <row r="71" spans="1:69" x14ac:dyDescent="0.25">
      <c r="A71" s="338" t="s">
        <v>281</v>
      </c>
      <c r="B71" s="140"/>
      <c r="C71" s="140"/>
      <c r="D71" s="140"/>
      <c r="E71" s="140"/>
      <c r="F71" s="140"/>
      <c r="G71" s="140"/>
      <c r="H71" s="140"/>
      <c r="I71" s="140"/>
      <c r="J71" s="140"/>
      <c r="K71" s="140"/>
      <c r="L71" s="140"/>
      <c r="M71" s="140"/>
      <c r="N71" s="140"/>
      <c r="O71" s="141"/>
      <c r="P71" s="141"/>
      <c r="Q71" s="141"/>
      <c r="R71" s="141"/>
      <c r="S71" s="141"/>
      <c r="T71" s="141"/>
      <c r="U71" s="141"/>
      <c r="V71" s="141"/>
      <c r="W71" s="141"/>
      <c r="X71" s="141"/>
      <c r="Y71" s="141"/>
      <c r="Z71" s="141">
        <f t="shared" si="12"/>
        <v>0</v>
      </c>
      <c r="AA71" s="145">
        <f t="shared" si="12"/>
        <v>0</v>
      </c>
      <c r="AB71" s="143"/>
      <c r="AC71" s="143"/>
      <c r="AD71" s="143"/>
      <c r="AE71" s="143"/>
      <c r="AF71" s="143"/>
      <c r="AG71" s="143"/>
      <c r="AH71" s="143"/>
      <c r="AJ71" s="140" t="s">
        <v>281</v>
      </c>
      <c r="AK71" s="140"/>
      <c r="AL71" s="140"/>
      <c r="AM71" s="140"/>
      <c r="AN71" s="140"/>
      <c r="AO71" s="140"/>
      <c r="AP71" s="140"/>
      <c r="AQ71" s="140"/>
      <c r="AR71" s="140"/>
      <c r="AS71" s="140"/>
      <c r="AT71" s="140"/>
      <c r="AU71" s="140"/>
      <c r="AV71" s="140"/>
      <c r="AW71" s="140"/>
      <c r="AX71" s="141"/>
      <c r="AY71" s="141"/>
      <c r="AZ71" s="141"/>
      <c r="BA71" s="141"/>
      <c r="BB71" s="141"/>
      <c r="BC71" s="141"/>
      <c r="BD71" s="141"/>
      <c r="BE71" s="141"/>
      <c r="BF71" s="141"/>
      <c r="BG71" s="141"/>
      <c r="BH71" s="141"/>
      <c r="BI71" s="141">
        <f t="shared" si="13"/>
        <v>0</v>
      </c>
      <c r="BJ71" s="145">
        <f t="shared" si="13"/>
        <v>0</v>
      </c>
      <c r="BK71" s="143"/>
      <c r="BL71" s="143"/>
      <c r="BM71" s="143"/>
      <c r="BN71" s="143"/>
      <c r="BO71" s="143"/>
      <c r="BP71" s="143"/>
      <c r="BQ71" s="340"/>
    </row>
    <row r="72" spans="1:69" x14ac:dyDescent="0.25">
      <c r="A72" s="338" t="s">
        <v>282</v>
      </c>
      <c r="B72" s="140"/>
      <c r="C72" s="140"/>
      <c r="D72" s="140"/>
      <c r="E72" s="140"/>
      <c r="F72" s="140"/>
      <c r="G72" s="140"/>
      <c r="H72" s="140"/>
      <c r="I72" s="140"/>
      <c r="J72" s="140"/>
      <c r="K72" s="140"/>
      <c r="L72" s="140"/>
      <c r="M72" s="140"/>
      <c r="N72" s="140"/>
      <c r="O72" s="141"/>
      <c r="P72" s="141"/>
      <c r="Q72" s="141"/>
      <c r="R72" s="141"/>
      <c r="S72" s="141"/>
      <c r="T72" s="141"/>
      <c r="U72" s="141"/>
      <c r="V72" s="141"/>
      <c r="W72" s="141"/>
      <c r="X72" s="141"/>
      <c r="Y72" s="141"/>
      <c r="Z72" s="141">
        <f t="shared" si="12"/>
        <v>0</v>
      </c>
      <c r="AA72" s="145">
        <f t="shared" si="12"/>
        <v>0</v>
      </c>
      <c r="AB72" s="143"/>
      <c r="AC72" s="143"/>
      <c r="AD72" s="143"/>
      <c r="AE72" s="143"/>
      <c r="AF72" s="143"/>
      <c r="AG72" s="143"/>
      <c r="AH72" s="143"/>
      <c r="AJ72" s="140" t="s">
        <v>282</v>
      </c>
      <c r="AK72" s="140"/>
      <c r="AL72" s="140"/>
      <c r="AM72" s="140"/>
      <c r="AN72" s="140"/>
      <c r="AO72" s="140"/>
      <c r="AP72" s="140"/>
      <c r="AQ72" s="140"/>
      <c r="AR72" s="140"/>
      <c r="AS72" s="140"/>
      <c r="AT72" s="140"/>
      <c r="AU72" s="140"/>
      <c r="AV72" s="140"/>
      <c r="AW72" s="140"/>
      <c r="AX72" s="141"/>
      <c r="AY72" s="141"/>
      <c r="AZ72" s="141"/>
      <c r="BA72" s="141"/>
      <c r="BB72" s="141"/>
      <c r="BC72" s="141"/>
      <c r="BD72" s="141"/>
      <c r="BE72" s="141"/>
      <c r="BF72" s="141"/>
      <c r="BG72" s="141"/>
      <c r="BH72" s="141"/>
      <c r="BI72" s="141">
        <f t="shared" si="13"/>
        <v>0</v>
      </c>
      <c r="BJ72" s="145">
        <f t="shared" si="13"/>
        <v>0</v>
      </c>
      <c r="BK72" s="143"/>
      <c r="BL72" s="143"/>
      <c r="BM72" s="143"/>
      <c r="BN72" s="143"/>
      <c r="BO72" s="143"/>
      <c r="BP72" s="143"/>
      <c r="BQ72" s="340"/>
    </row>
    <row r="73" spans="1:69" x14ac:dyDescent="0.25">
      <c r="A73" s="338" t="s">
        <v>283</v>
      </c>
      <c r="B73" s="140"/>
      <c r="C73" s="140"/>
      <c r="D73" s="140"/>
      <c r="E73" s="140"/>
      <c r="F73" s="140"/>
      <c r="G73" s="140"/>
      <c r="H73" s="140"/>
      <c r="I73" s="140"/>
      <c r="J73" s="140"/>
      <c r="K73" s="140"/>
      <c r="L73" s="140"/>
      <c r="M73" s="140"/>
      <c r="N73" s="140"/>
      <c r="O73" s="141"/>
      <c r="P73" s="141"/>
      <c r="Q73" s="141"/>
      <c r="R73" s="141"/>
      <c r="S73" s="141"/>
      <c r="T73" s="141"/>
      <c r="U73" s="141"/>
      <c r="V73" s="141"/>
      <c r="W73" s="141"/>
      <c r="X73" s="141"/>
      <c r="Y73" s="141"/>
      <c r="Z73" s="141">
        <f t="shared" si="12"/>
        <v>0</v>
      </c>
      <c r="AA73" s="145">
        <f t="shared" si="12"/>
        <v>0</v>
      </c>
      <c r="AB73" s="143"/>
      <c r="AC73" s="143"/>
      <c r="AD73" s="143"/>
      <c r="AE73" s="143"/>
      <c r="AF73" s="143"/>
      <c r="AG73" s="143"/>
      <c r="AH73" s="143"/>
      <c r="AJ73" s="140" t="s">
        <v>283</v>
      </c>
      <c r="AK73" s="140"/>
      <c r="AL73" s="140"/>
      <c r="AM73" s="140"/>
      <c r="AN73" s="140"/>
      <c r="AO73" s="140"/>
      <c r="AP73" s="140"/>
      <c r="AQ73" s="140"/>
      <c r="AR73" s="140"/>
      <c r="AS73" s="140"/>
      <c r="AT73" s="140"/>
      <c r="AU73" s="140"/>
      <c r="AV73" s="140"/>
      <c r="AW73" s="140"/>
      <c r="AX73" s="141"/>
      <c r="AY73" s="141"/>
      <c r="AZ73" s="141"/>
      <c r="BA73" s="141"/>
      <c r="BB73" s="141"/>
      <c r="BC73" s="141"/>
      <c r="BD73" s="141"/>
      <c r="BE73" s="141"/>
      <c r="BF73" s="141"/>
      <c r="BG73" s="141"/>
      <c r="BH73" s="141"/>
      <c r="BI73" s="141">
        <f t="shared" si="13"/>
        <v>0</v>
      </c>
      <c r="BJ73" s="145">
        <f t="shared" si="13"/>
        <v>0</v>
      </c>
      <c r="BK73" s="143"/>
      <c r="BL73" s="143"/>
      <c r="BM73" s="143"/>
      <c r="BN73" s="143"/>
      <c r="BO73" s="143"/>
      <c r="BP73" s="143"/>
      <c r="BQ73" s="340"/>
    </row>
    <row r="74" spans="1:69" x14ac:dyDescent="0.25">
      <c r="A74" s="338" t="s">
        <v>284</v>
      </c>
      <c r="B74" s="140"/>
      <c r="C74" s="140"/>
      <c r="D74" s="140"/>
      <c r="E74" s="140"/>
      <c r="F74" s="140"/>
      <c r="G74" s="140"/>
      <c r="H74" s="140"/>
      <c r="I74" s="140"/>
      <c r="J74" s="140"/>
      <c r="K74" s="140"/>
      <c r="L74" s="140"/>
      <c r="M74" s="140"/>
      <c r="N74" s="140"/>
      <c r="O74" s="141"/>
      <c r="P74" s="141"/>
      <c r="Q74" s="141"/>
      <c r="R74" s="141"/>
      <c r="S74" s="141"/>
      <c r="T74" s="141"/>
      <c r="U74" s="141"/>
      <c r="V74" s="141"/>
      <c r="W74" s="141"/>
      <c r="X74" s="141"/>
      <c r="Y74" s="141"/>
      <c r="Z74" s="141">
        <f t="shared" si="12"/>
        <v>0</v>
      </c>
      <c r="AA74" s="145">
        <f t="shared" si="12"/>
        <v>0</v>
      </c>
      <c r="AB74" s="143"/>
      <c r="AC74" s="143"/>
      <c r="AD74" s="143"/>
      <c r="AE74" s="143"/>
      <c r="AF74" s="143"/>
      <c r="AG74" s="143"/>
      <c r="AH74" s="143"/>
      <c r="AJ74" s="140" t="s">
        <v>284</v>
      </c>
      <c r="AK74" s="140"/>
      <c r="AL74" s="140"/>
      <c r="AM74" s="140"/>
      <c r="AN74" s="140"/>
      <c r="AO74" s="140"/>
      <c r="AP74" s="140"/>
      <c r="AQ74" s="140"/>
      <c r="AR74" s="140"/>
      <c r="AS74" s="140"/>
      <c r="AT74" s="140"/>
      <c r="AU74" s="140"/>
      <c r="AV74" s="140"/>
      <c r="AW74" s="140"/>
      <c r="AX74" s="141"/>
      <c r="AY74" s="141"/>
      <c r="AZ74" s="141"/>
      <c r="BA74" s="141"/>
      <c r="BB74" s="141"/>
      <c r="BC74" s="141"/>
      <c r="BD74" s="141"/>
      <c r="BE74" s="141"/>
      <c r="BF74" s="141"/>
      <c r="BG74" s="141"/>
      <c r="BH74" s="141"/>
      <c r="BI74" s="141">
        <f t="shared" si="13"/>
        <v>0</v>
      </c>
      <c r="BJ74" s="145">
        <f t="shared" si="13"/>
        <v>0</v>
      </c>
      <c r="BK74" s="143"/>
      <c r="BL74" s="143"/>
      <c r="BM74" s="143"/>
      <c r="BN74" s="143"/>
      <c r="BO74" s="143"/>
      <c r="BP74" s="143"/>
      <c r="BQ74" s="340"/>
    </row>
    <row r="75" spans="1:69" x14ac:dyDescent="0.25">
      <c r="A75" s="338" t="s">
        <v>285</v>
      </c>
      <c r="B75" s="140"/>
      <c r="C75" s="140"/>
      <c r="D75" s="140"/>
      <c r="E75" s="140"/>
      <c r="F75" s="140"/>
      <c r="G75" s="140"/>
      <c r="H75" s="140"/>
      <c r="I75" s="140"/>
      <c r="J75" s="140"/>
      <c r="K75" s="140"/>
      <c r="L75" s="140"/>
      <c r="M75" s="140"/>
      <c r="N75" s="140"/>
      <c r="O75" s="141"/>
      <c r="P75" s="141"/>
      <c r="Q75" s="141"/>
      <c r="R75" s="141"/>
      <c r="S75" s="141"/>
      <c r="T75" s="141"/>
      <c r="U75" s="141"/>
      <c r="V75" s="141"/>
      <c r="W75" s="141"/>
      <c r="X75" s="141"/>
      <c r="Y75" s="141"/>
      <c r="Z75" s="141">
        <f t="shared" si="12"/>
        <v>0</v>
      </c>
      <c r="AA75" s="145">
        <f t="shared" si="12"/>
        <v>0</v>
      </c>
      <c r="AB75" s="143"/>
      <c r="AC75" s="143"/>
      <c r="AD75" s="143"/>
      <c r="AE75" s="143"/>
      <c r="AF75" s="143"/>
      <c r="AG75" s="143"/>
      <c r="AH75" s="143"/>
      <c r="AJ75" s="140" t="s">
        <v>285</v>
      </c>
      <c r="AK75" s="140"/>
      <c r="AL75" s="140"/>
      <c r="AM75" s="140"/>
      <c r="AN75" s="140"/>
      <c r="AO75" s="140"/>
      <c r="AP75" s="140"/>
      <c r="AQ75" s="140"/>
      <c r="AR75" s="140"/>
      <c r="AS75" s="140"/>
      <c r="AT75" s="140"/>
      <c r="AU75" s="140"/>
      <c r="AV75" s="140"/>
      <c r="AW75" s="140"/>
      <c r="AX75" s="141"/>
      <c r="AY75" s="141"/>
      <c r="AZ75" s="141"/>
      <c r="BA75" s="141"/>
      <c r="BB75" s="141"/>
      <c r="BC75" s="141"/>
      <c r="BD75" s="141"/>
      <c r="BE75" s="141"/>
      <c r="BF75" s="141"/>
      <c r="BG75" s="141"/>
      <c r="BH75" s="141"/>
      <c r="BI75" s="141">
        <f t="shared" si="13"/>
        <v>0</v>
      </c>
      <c r="BJ75" s="145">
        <f t="shared" si="13"/>
        <v>0</v>
      </c>
      <c r="BK75" s="143"/>
      <c r="BL75" s="143"/>
      <c r="BM75" s="143"/>
      <c r="BN75" s="143"/>
      <c r="BO75" s="143"/>
      <c r="BP75" s="143"/>
      <c r="BQ75" s="340"/>
    </row>
    <row r="76" spans="1:69" x14ac:dyDescent="0.25">
      <c r="A76" s="338" t="s">
        <v>286</v>
      </c>
      <c r="B76" s="140"/>
      <c r="C76" s="140"/>
      <c r="D76" s="140"/>
      <c r="E76" s="140"/>
      <c r="F76" s="140"/>
      <c r="G76" s="140"/>
      <c r="H76" s="140"/>
      <c r="I76" s="140"/>
      <c r="J76" s="140"/>
      <c r="K76" s="140"/>
      <c r="L76" s="140"/>
      <c r="M76" s="140"/>
      <c r="N76" s="140"/>
      <c r="O76" s="141"/>
      <c r="P76" s="141"/>
      <c r="Q76" s="141"/>
      <c r="R76" s="141"/>
      <c r="S76" s="141"/>
      <c r="T76" s="141"/>
      <c r="U76" s="141"/>
      <c r="V76" s="141"/>
      <c r="W76" s="141"/>
      <c r="X76" s="141"/>
      <c r="Y76" s="141"/>
      <c r="Z76" s="141">
        <f t="shared" si="12"/>
        <v>0</v>
      </c>
      <c r="AA76" s="145">
        <f t="shared" si="12"/>
        <v>0</v>
      </c>
      <c r="AB76" s="143"/>
      <c r="AC76" s="143"/>
      <c r="AD76" s="143"/>
      <c r="AE76" s="143"/>
      <c r="AF76" s="143"/>
      <c r="AG76" s="143"/>
      <c r="AH76" s="143"/>
      <c r="AJ76" s="140" t="s">
        <v>286</v>
      </c>
      <c r="AK76" s="140"/>
      <c r="AL76" s="140"/>
      <c r="AM76" s="140"/>
      <c r="AN76" s="140"/>
      <c r="AO76" s="140"/>
      <c r="AP76" s="140"/>
      <c r="AQ76" s="140"/>
      <c r="AR76" s="140"/>
      <c r="AS76" s="140"/>
      <c r="AT76" s="140"/>
      <c r="AU76" s="140"/>
      <c r="AV76" s="140"/>
      <c r="AW76" s="140"/>
      <c r="AX76" s="141"/>
      <c r="AY76" s="141"/>
      <c r="AZ76" s="141"/>
      <c r="BA76" s="141"/>
      <c r="BB76" s="141"/>
      <c r="BC76" s="141"/>
      <c r="BD76" s="141"/>
      <c r="BE76" s="141"/>
      <c r="BF76" s="141"/>
      <c r="BG76" s="141"/>
      <c r="BH76" s="141"/>
      <c r="BI76" s="141">
        <f t="shared" si="13"/>
        <v>0</v>
      </c>
      <c r="BJ76" s="145">
        <f t="shared" si="13"/>
        <v>0</v>
      </c>
      <c r="BK76" s="143"/>
      <c r="BL76" s="143"/>
      <c r="BM76" s="143"/>
      <c r="BN76" s="143"/>
      <c r="BO76" s="143"/>
      <c r="BP76" s="143"/>
      <c r="BQ76" s="340"/>
    </row>
    <row r="77" spans="1:69" x14ac:dyDescent="0.25">
      <c r="A77" s="338" t="s">
        <v>287</v>
      </c>
      <c r="B77" s="140"/>
      <c r="C77" s="140"/>
      <c r="D77" s="140"/>
      <c r="E77" s="140"/>
      <c r="F77" s="140"/>
      <c r="G77" s="140"/>
      <c r="H77" s="140"/>
      <c r="I77" s="140"/>
      <c r="J77" s="140"/>
      <c r="K77" s="140"/>
      <c r="L77" s="140"/>
      <c r="M77" s="140"/>
      <c r="N77" s="140"/>
      <c r="O77" s="141"/>
      <c r="P77" s="141"/>
      <c r="Q77" s="141"/>
      <c r="R77" s="141"/>
      <c r="S77" s="141"/>
      <c r="T77" s="141"/>
      <c r="U77" s="141"/>
      <c r="V77" s="141"/>
      <c r="W77" s="141"/>
      <c r="X77" s="141"/>
      <c r="Y77" s="141"/>
      <c r="Z77" s="141">
        <f t="shared" si="12"/>
        <v>0</v>
      </c>
      <c r="AA77" s="145">
        <f t="shared" si="12"/>
        <v>0</v>
      </c>
      <c r="AB77" s="143"/>
      <c r="AC77" s="143"/>
      <c r="AD77" s="143"/>
      <c r="AE77" s="143"/>
      <c r="AF77" s="143"/>
      <c r="AG77" s="143"/>
      <c r="AH77" s="143"/>
      <c r="AJ77" s="140" t="s">
        <v>287</v>
      </c>
      <c r="AK77" s="140"/>
      <c r="AL77" s="140"/>
      <c r="AM77" s="140"/>
      <c r="AN77" s="140"/>
      <c r="AO77" s="140"/>
      <c r="AP77" s="140"/>
      <c r="AQ77" s="140"/>
      <c r="AR77" s="140"/>
      <c r="AS77" s="140"/>
      <c r="AT77" s="140"/>
      <c r="AU77" s="140"/>
      <c r="AV77" s="140"/>
      <c r="AW77" s="140"/>
      <c r="AX77" s="141"/>
      <c r="AY77" s="141"/>
      <c r="AZ77" s="141"/>
      <c r="BA77" s="141"/>
      <c r="BB77" s="141"/>
      <c r="BC77" s="141"/>
      <c r="BD77" s="141"/>
      <c r="BE77" s="141"/>
      <c r="BF77" s="141"/>
      <c r="BG77" s="141"/>
      <c r="BH77" s="141"/>
      <c r="BI77" s="141">
        <f t="shared" si="13"/>
        <v>0</v>
      </c>
      <c r="BJ77" s="145">
        <f t="shared" si="13"/>
        <v>0</v>
      </c>
      <c r="BK77" s="143"/>
      <c r="BL77" s="143"/>
      <c r="BM77" s="143"/>
      <c r="BN77" s="143"/>
      <c r="BO77" s="143"/>
      <c r="BP77" s="143"/>
      <c r="BQ77" s="340"/>
    </row>
    <row r="78" spans="1:69" x14ac:dyDescent="0.25">
      <c r="A78" s="338" t="s">
        <v>288</v>
      </c>
      <c r="B78" s="140"/>
      <c r="C78" s="140"/>
      <c r="D78" s="140"/>
      <c r="E78" s="140"/>
      <c r="F78" s="140"/>
      <c r="G78" s="140"/>
      <c r="H78" s="140"/>
      <c r="I78" s="140"/>
      <c r="J78" s="140"/>
      <c r="K78" s="140"/>
      <c r="L78" s="140"/>
      <c r="M78" s="140"/>
      <c r="N78" s="140"/>
      <c r="O78" s="141"/>
      <c r="P78" s="141"/>
      <c r="Q78" s="141"/>
      <c r="R78" s="141"/>
      <c r="S78" s="141"/>
      <c r="T78" s="141"/>
      <c r="U78" s="141"/>
      <c r="V78" s="141"/>
      <c r="W78" s="141"/>
      <c r="X78" s="141"/>
      <c r="Y78" s="141"/>
      <c r="Z78" s="141">
        <f t="shared" si="12"/>
        <v>0</v>
      </c>
      <c r="AA78" s="145">
        <f t="shared" si="12"/>
        <v>0</v>
      </c>
      <c r="AB78" s="143"/>
      <c r="AC78" s="143"/>
      <c r="AD78" s="143"/>
      <c r="AE78" s="143"/>
      <c r="AF78" s="143"/>
      <c r="AG78" s="143"/>
      <c r="AH78" s="143"/>
      <c r="AJ78" s="140" t="s">
        <v>288</v>
      </c>
      <c r="AK78" s="140"/>
      <c r="AL78" s="140"/>
      <c r="AM78" s="140"/>
      <c r="AN78" s="140"/>
      <c r="AO78" s="140"/>
      <c r="AP78" s="140"/>
      <c r="AQ78" s="140"/>
      <c r="AR78" s="140"/>
      <c r="AS78" s="140"/>
      <c r="AT78" s="140"/>
      <c r="AU78" s="140"/>
      <c r="AV78" s="140"/>
      <c r="AW78" s="140"/>
      <c r="AX78" s="141"/>
      <c r="AY78" s="141"/>
      <c r="AZ78" s="141"/>
      <c r="BA78" s="141"/>
      <c r="BB78" s="141"/>
      <c r="BC78" s="141"/>
      <c r="BD78" s="141"/>
      <c r="BE78" s="141"/>
      <c r="BF78" s="141"/>
      <c r="BG78" s="141"/>
      <c r="BH78" s="141"/>
      <c r="BI78" s="141">
        <f t="shared" si="13"/>
        <v>0</v>
      </c>
      <c r="BJ78" s="145">
        <f t="shared" si="13"/>
        <v>0</v>
      </c>
      <c r="BK78" s="143"/>
      <c r="BL78" s="143"/>
      <c r="BM78" s="143"/>
      <c r="BN78" s="143"/>
      <c r="BO78" s="143"/>
      <c r="BP78" s="143"/>
      <c r="BQ78" s="340"/>
    </row>
    <row r="79" spans="1:69" x14ac:dyDescent="0.25">
      <c r="A79" s="338" t="s">
        <v>289</v>
      </c>
      <c r="B79" s="140"/>
      <c r="C79" s="140"/>
      <c r="D79" s="140"/>
      <c r="E79" s="140"/>
      <c r="F79" s="140"/>
      <c r="G79" s="140"/>
      <c r="H79" s="140"/>
      <c r="I79" s="140"/>
      <c r="J79" s="140"/>
      <c r="K79" s="140"/>
      <c r="L79" s="140"/>
      <c r="M79" s="140"/>
      <c r="N79" s="140"/>
      <c r="O79" s="141"/>
      <c r="P79" s="141"/>
      <c r="Q79" s="141"/>
      <c r="R79" s="141"/>
      <c r="S79" s="141"/>
      <c r="T79" s="141"/>
      <c r="U79" s="141"/>
      <c r="V79" s="141"/>
      <c r="W79" s="141"/>
      <c r="X79" s="141"/>
      <c r="Y79" s="141"/>
      <c r="Z79" s="141">
        <f t="shared" si="12"/>
        <v>0</v>
      </c>
      <c r="AA79" s="145">
        <f t="shared" si="12"/>
        <v>0</v>
      </c>
      <c r="AB79" s="143"/>
      <c r="AC79" s="143"/>
      <c r="AD79" s="143"/>
      <c r="AE79" s="143"/>
      <c r="AF79" s="143"/>
      <c r="AG79" s="143"/>
      <c r="AH79" s="143"/>
      <c r="AJ79" s="140" t="s">
        <v>289</v>
      </c>
      <c r="AK79" s="140"/>
      <c r="AL79" s="140"/>
      <c r="AM79" s="140"/>
      <c r="AN79" s="140"/>
      <c r="AO79" s="140"/>
      <c r="AP79" s="140"/>
      <c r="AQ79" s="140"/>
      <c r="AR79" s="140"/>
      <c r="AS79" s="140"/>
      <c r="AT79" s="140"/>
      <c r="AU79" s="140"/>
      <c r="AV79" s="140"/>
      <c r="AW79" s="140"/>
      <c r="AX79" s="141"/>
      <c r="AY79" s="141"/>
      <c r="AZ79" s="141"/>
      <c r="BA79" s="141"/>
      <c r="BB79" s="141"/>
      <c r="BC79" s="141"/>
      <c r="BD79" s="141"/>
      <c r="BE79" s="141"/>
      <c r="BF79" s="141"/>
      <c r="BG79" s="141"/>
      <c r="BH79" s="141"/>
      <c r="BI79" s="141">
        <f t="shared" si="13"/>
        <v>0</v>
      </c>
      <c r="BJ79" s="145">
        <f t="shared" si="13"/>
        <v>0</v>
      </c>
      <c r="BK79" s="143"/>
      <c r="BL79" s="143"/>
      <c r="BM79" s="143"/>
      <c r="BN79" s="143"/>
      <c r="BO79" s="143"/>
      <c r="BP79" s="143"/>
      <c r="BQ79" s="340"/>
    </row>
    <row r="80" spans="1:69" x14ac:dyDescent="0.25">
      <c r="A80" s="338" t="s">
        <v>290</v>
      </c>
      <c r="B80" s="140"/>
      <c r="C80" s="140"/>
      <c r="D80" s="140"/>
      <c r="E80" s="140"/>
      <c r="F80" s="140"/>
      <c r="G80" s="140"/>
      <c r="H80" s="140"/>
      <c r="I80" s="140"/>
      <c r="J80" s="140"/>
      <c r="K80" s="140"/>
      <c r="L80" s="140"/>
      <c r="M80" s="140"/>
      <c r="N80" s="140"/>
      <c r="O80" s="141"/>
      <c r="P80" s="141"/>
      <c r="Q80" s="141"/>
      <c r="R80" s="141"/>
      <c r="S80" s="141"/>
      <c r="T80" s="141"/>
      <c r="U80" s="141"/>
      <c r="V80" s="141"/>
      <c r="W80" s="141"/>
      <c r="X80" s="141"/>
      <c r="Y80" s="141"/>
      <c r="Z80" s="141">
        <f t="shared" si="12"/>
        <v>0</v>
      </c>
      <c r="AA80" s="145">
        <f t="shared" si="12"/>
        <v>0</v>
      </c>
      <c r="AB80" s="143"/>
      <c r="AC80" s="143"/>
      <c r="AD80" s="143"/>
      <c r="AE80" s="143"/>
      <c r="AF80" s="143"/>
      <c r="AG80" s="143"/>
      <c r="AH80" s="143"/>
      <c r="AJ80" s="140" t="s">
        <v>290</v>
      </c>
      <c r="AK80" s="140"/>
      <c r="AL80" s="140"/>
      <c r="AM80" s="140"/>
      <c r="AN80" s="140"/>
      <c r="AO80" s="140"/>
      <c r="AP80" s="140"/>
      <c r="AQ80" s="140"/>
      <c r="AR80" s="140"/>
      <c r="AS80" s="140"/>
      <c r="AT80" s="140"/>
      <c r="AU80" s="140"/>
      <c r="AV80" s="140"/>
      <c r="AW80" s="140"/>
      <c r="AX80" s="141"/>
      <c r="AY80" s="141"/>
      <c r="AZ80" s="141"/>
      <c r="BA80" s="141"/>
      <c r="BB80" s="141"/>
      <c r="BC80" s="141"/>
      <c r="BD80" s="141"/>
      <c r="BE80" s="141"/>
      <c r="BF80" s="141"/>
      <c r="BG80" s="141"/>
      <c r="BH80" s="141"/>
      <c r="BI80" s="141">
        <f t="shared" si="13"/>
        <v>0</v>
      </c>
      <c r="BJ80" s="145">
        <f t="shared" si="13"/>
        <v>0</v>
      </c>
      <c r="BK80" s="143"/>
      <c r="BL80" s="143"/>
      <c r="BM80" s="143"/>
      <c r="BN80" s="143"/>
      <c r="BO80" s="143"/>
      <c r="BP80" s="143"/>
      <c r="BQ80" s="340"/>
    </row>
    <row r="81" spans="1:69" x14ac:dyDescent="0.25">
      <c r="A81" s="338" t="s">
        <v>291</v>
      </c>
      <c r="B81" s="140"/>
      <c r="C81" s="140"/>
      <c r="D81" s="140"/>
      <c r="E81" s="140"/>
      <c r="F81" s="140"/>
      <c r="G81" s="140"/>
      <c r="H81" s="140"/>
      <c r="I81" s="140"/>
      <c r="J81" s="140"/>
      <c r="K81" s="140"/>
      <c r="L81" s="140"/>
      <c r="M81" s="140"/>
      <c r="N81" s="140"/>
      <c r="O81" s="141"/>
      <c r="P81" s="141"/>
      <c r="Q81" s="141"/>
      <c r="R81" s="141"/>
      <c r="S81" s="141"/>
      <c r="T81" s="141"/>
      <c r="U81" s="141"/>
      <c r="V81" s="141"/>
      <c r="W81" s="141"/>
      <c r="X81" s="141"/>
      <c r="Y81" s="141"/>
      <c r="Z81" s="141">
        <f t="shared" si="12"/>
        <v>0</v>
      </c>
      <c r="AA81" s="145">
        <f t="shared" si="12"/>
        <v>0</v>
      </c>
      <c r="AB81" s="143"/>
      <c r="AC81" s="143"/>
      <c r="AD81" s="143"/>
      <c r="AE81" s="143"/>
      <c r="AF81" s="143"/>
      <c r="AG81" s="143"/>
      <c r="AH81" s="143"/>
      <c r="AJ81" s="140" t="s">
        <v>291</v>
      </c>
      <c r="AK81" s="140"/>
      <c r="AL81" s="140"/>
      <c r="AM81" s="140"/>
      <c r="AN81" s="140"/>
      <c r="AO81" s="140"/>
      <c r="AP81" s="140"/>
      <c r="AQ81" s="140"/>
      <c r="AR81" s="140"/>
      <c r="AS81" s="140"/>
      <c r="AT81" s="140"/>
      <c r="AU81" s="140"/>
      <c r="AV81" s="140"/>
      <c r="AW81" s="140"/>
      <c r="AX81" s="141"/>
      <c r="AY81" s="141"/>
      <c r="AZ81" s="141"/>
      <c r="BA81" s="141"/>
      <c r="BB81" s="141"/>
      <c r="BC81" s="141"/>
      <c r="BD81" s="141"/>
      <c r="BE81" s="141"/>
      <c r="BF81" s="141"/>
      <c r="BG81" s="141"/>
      <c r="BH81" s="141"/>
      <c r="BI81" s="141">
        <f t="shared" si="13"/>
        <v>0</v>
      </c>
      <c r="BJ81" s="145">
        <f t="shared" si="13"/>
        <v>0</v>
      </c>
      <c r="BK81" s="143"/>
      <c r="BL81" s="143"/>
      <c r="BM81" s="143"/>
      <c r="BN81" s="143"/>
      <c r="BO81" s="143"/>
      <c r="BP81" s="143"/>
      <c r="BQ81" s="340"/>
    </row>
    <row r="82" spans="1:69" ht="187.5" customHeight="1" x14ac:dyDescent="0.25">
      <c r="A82" s="338" t="s">
        <v>292</v>
      </c>
      <c r="B82" s="140">
        <v>150</v>
      </c>
      <c r="C82" s="140"/>
      <c r="D82" s="140">
        <v>370</v>
      </c>
      <c r="E82" s="140"/>
      <c r="F82" s="140">
        <v>370</v>
      </c>
      <c r="G82" s="140"/>
      <c r="H82" s="140"/>
      <c r="I82" s="140"/>
      <c r="J82" s="140"/>
      <c r="K82" s="140"/>
      <c r="L82" s="140"/>
      <c r="M82" s="140"/>
      <c r="N82" s="140"/>
      <c r="O82" s="141"/>
      <c r="P82" s="140"/>
      <c r="Q82" s="141"/>
      <c r="R82" s="140"/>
      <c r="S82" s="141"/>
      <c r="T82" s="140"/>
      <c r="U82" s="141"/>
      <c r="V82" s="141"/>
      <c r="W82" s="141"/>
      <c r="X82" s="141"/>
      <c r="Y82" s="141"/>
      <c r="Z82" s="141">
        <f t="shared" si="12"/>
        <v>890</v>
      </c>
      <c r="AA82" s="145">
        <f t="shared" si="12"/>
        <v>0</v>
      </c>
      <c r="AB82" s="265" t="s">
        <v>303</v>
      </c>
      <c r="AC82" s="140">
        <v>0</v>
      </c>
      <c r="AD82" s="140">
        <v>0</v>
      </c>
      <c r="AE82" s="140">
        <v>0</v>
      </c>
      <c r="AF82" s="140">
        <v>128</v>
      </c>
      <c r="AG82" s="140">
        <v>251</v>
      </c>
      <c r="AH82" s="265">
        <v>6</v>
      </c>
      <c r="AJ82" s="140" t="s">
        <v>292</v>
      </c>
      <c r="AK82" s="140">
        <v>338</v>
      </c>
      <c r="AL82" s="140"/>
      <c r="AM82" s="140">
        <v>578</v>
      </c>
      <c r="AN82" s="140"/>
      <c r="AO82" s="140">
        <v>562</v>
      </c>
      <c r="AP82" s="140"/>
      <c r="AQ82" s="140">
        <v>445</v>
      </c>
      <c r="AR82" s="140"/>
      <c r="AS82" s="140">
        <v>530</v>
      </c>
      <c r="AT82" s="140"/>
      <c r="AU82" s="140">
        <v>500</v>
      </c>
      <c r="AV82" s="140"/>
      <c r="AW82" s="140">
        <v>618</v>
      </c>
      <c r="AX82" s="141"/>
      <c r="AY82" s="141">
        <v>608</v>
      </c>
      <c r="AZ82" s="141"/>
      <c r="BA82" s="141">
        <v>552</v>
      </c>
      <c r="BB82" s="141"/>
      <c r="BC82" s="141">
        <v>442</v>
      </c>
      <c r="BD82" s="141"/>
      <c r="BE82" s="141">
        <v>560</v>
      </c>
      <c r="BF82" s="141"/>
      <c r="BG82" s="141">
        <v>419</v>
      </c>
      <c r="BH82" s="141"/>
      <c r="BI82" s="141">
        <f t="shared" si="13"/>
        <v>6152</v>
      </c>
      <c r="BJ82" s="145">
        <f t="shared" si="13"/>
        <v>0</v>
      </c>
      <c r="BK82" s="265" t="s">
        <v>565</v>
      </c>
      <c r="BL82" s="140">
        <v>0</v>
      </c>
      <c r="BM82" s="140">
        <v>0</v>
      </c>
      <c r="BN82" s="140">
        <v>0</v>
      </c>
      <c r="BO82" s="140">
        <v>122</v>
      </c>
      <c r="BP82" s="140">
        <v>167</v>
      </c>
      <c r="BQ82" s="339">
        <v>4</v>
      </c>
    </row>
    <row r="83" spans="1:69" x14ac:dyDescent="0.25">
      <c r="A83" s="338" t="s">
        <v>293</v>
      </c>
      <c r="B83" s="140"/>
      <c r="C83" s="140"/>
      <c r="D83" s="140"/>
      <c r="E83" s="140"/>
      <c r="F83" s="140"/>
      <c r="G83" s="140"/>
      <c r="H83" s="140"/>
      <c r="I83" s="140"/>
      <c r="J83" s="140"/>
      <c r="K83" s="140"/>
      <c r="L83" s="140"/>
      <c r="M83" s="140"/>
      <c r="N83" s="140"/>
      <c r="O83" s="141"/>
      <c r="P83" s="141"/>
      <c r="Q83" s="141"/>
      <c r="R83" s="141"/>
      <c r="S83" s="141"/>
      <c r="T83" s="141"/>
      <c r="U83" s="141"/>
      <c r="V83" s="141"/>
      <c r="W83" s="141"/>
      <c r="X83" s="141"/>
      <c r="Y83" s="141"/>
      <c r="Z83" s="141">
        <f t="shared" si="12"/>
        <v>0</v>
      </c>
      <c r="AA83" s="145">
        <f t="shared" si="12"/>
        <v>0</v>
      </c>
      <c r="AB83" s="143"/>
      <c r="AC83" s="143"/>
      <c r="AD83" s="143"/>
      <c r="AE83" s="143"/>
      <c r="AF83" s="143"/>
      <c r="AG83" s="143"/>
      <c r="AH83" s="143"/>
      <c r="AJ83" s="140" t="s">
        <v>293</v>
      </c>
      <c r="AK83" s="140"/>
      <c r="AL83" s="140"/>
      <c r="AM83" s="140"/>
      <c r="AN83" s="140"/>
      <c r="AO83" s="140"/>
      <c r="AP83" s="140"/>
      <c r="AQ83" s="140"/>
      <c r="AR83" s="140"/>
      <c r="AS83" s="140"/>
      <c r="AT83" s="140"/>
      <c r="AU83" s="140"/>
      <c r="AV83" s="140"/>
      <c r="AW83" s="140"/>
      <c r="AX83" s="141"/>
      <c r="AY83" s="141"/>
      <c r="AZ83" s="141"/>
      <c r="BA83" s="141"/>
      <c r="BB83" s="141"/>
      <c r="BC83" s="141"/>
      <c r="BD83" s="141"/>
      <c r="BE83" s="141"/>
      <c r="BF83" s="141"/>
      <c r="BG83" s="141"/>
      <c r="BH83" s="141"/>
      <c r="BI83" s="141">
        <f t="shared" si="13"/>
        <v>0</v>
      </c>
      <c r="BJ83" s="145">
        <f t="shared" si="13"/>
        <v>0</v>
      </c>
      <c r="BK83" s="143"/>
      <c r="BL83" s="143"/>
      <c r="BM83" s="143"/>
      <c r="BN83" s="143"/>
      <c r="BO83" s="143"/>
      <c r="BP83" s="143"/>
      <c r="BQ83" s="340"/>
    </row>
    <row r="84" spans="1:69" x14ac:dyDescent="0.25">
      <c r="A84" s="338" t="s">
        <v>294</v>
      </c>
      <c r="B84" s="140"/>
      <c r="C84" s="140"/>
      <c r="D84" s="140"/>
      <c r="E84" s="140"/>
      <c r="F84" s="140"/>
      <c r="G84" s="140"/>
      <c r="H84" s="140"/>
      <c r="I84" s="140"/>
      <c r="J84" s="140"/>
      <c r="K84" s="140"/>
      <c r="L84" s="140"/>
      <c r="M84" s="140"/>
      <c r="N84" s="140"/>
      <c r="O84" s="141"/>
      <c r="P84" s="141"/>
      <c r="Q84" s="141"/>
      <c r="R84" s="141"/>
      <c r="S84" s="141"/>
      <c r="T84" s="141"/>
      <c r="U84" s="141"/>
      <c r="V84" s="141"/>
      <c r="W84" s="141"/>
      <c r="X84" s="141"/>
      <c r="Y84" s="141"/>
      <c r="Z84" s="141">
        <f t="shared" si="12"/>
        <v>0</v>
      </c>
      <c r="AA84" s="145">
        <f t="shared" si="12"/>
        <v>0</v>
      </c>
      <c r="AB84" s="143"/>
      <c r="AC84" s="143"/>
      <c r="AD84" s="143"/>
      <c r="AE84" s="143"/>
      <c r="AF84" s="143"/>
      <c r="AG84" s="143"/>
      <c r="AH84" s="143"/>
      <c r="AJ84" s="140" t="s">
        <v>294</v>
      </c>
      <c r="AK84" s="140"/>
      <c r="AL84" s="140"/>
      <c r="AM84" s="140"/>
      <c r="AN84" s="140"/>
      <c r="AO84" s="140"/>
      <c r="AP84" s="140"/>
      <c r="AQ84" s="140"/>
      <c r="AR84" s="140"/>
      <c r="AS84" s="140"/>
      <c r="AT84" s="140"/>
      <c r="AU84" s="140"/>
      <c r="AV84" s="140"/>
      <c r="AW84" s="140"/>
      <c r="AX84" s="141"/>
      <c r="AY84" s="141"/>
      <c r="AZ84" s="141"/>
      <c r="BA84" s="141"/>
      <c r="BB84" s="141"/>
      <c r="BC84" s="141"/>
      <c r="BD84" s="141"/>
      <c r="BE84" s="141"/>
      <c r="BF84" s="141"/>
      <c r="BG84" s="141"/>
      <c r="BH84" s="141"/>
      <c r="BI84" s="141">
        <f t="shared" si="13"/>
        <v>0</v>
      </c>
      <c r="BJ84" s="145">
        <f t="shared" si="13"/>
        <v>0</v>
      </c>
      <c r="BK84" s="143"/>
      <c r="BL84" s="143"/>
      <c r="BM84" s="143"/>
      <c r="BN84" s="143"/>
      <c r="BO84" s="143"/>
      <c r="BP84" s="143"/>
      <c r="BQ84" s="340"/>
    </row>
    <row r="85" spans="1:69" x14ac:dyDescent="0.25">
      <c r="A85" s="338" t="s">
        <v>295</v>
      </c>
      <c r="B85" s="140"/>
      <c r="C85" s="140"/>
      <c r="D85" s="140"/>
      <c r="E85" s="140"/>
      <c r="F85" s="140"/>
      <c r="G85" s="140"/>
      <c r="H85" s="140"/>
      <c r="I85" s="140"/>
      <c r="J85" s="140"/>
      <c r="K85" s="140"/>
      <c r="L85" s="140"/>
      <c r="M85" s="140"/>
      <c r="N85" s="140"/>
      <c r="O85" s="141"/>
      <c r="P85" s="141"/>
      <c r="Q85" s="141"/>
      <c r="R85" s="141"/>
      <c r="S85" s="141"/>
      <c r="T85" s="141"/>
      <c r="U85" s="141"/>
      <c r="V85" s="141"/>
      <c r="W85" s="141"/>
      <c r="X85" s="141"/>
      <c r="Y85" s="141"/>
      <c r="Z85" s="141">
        <f t="shared" si="12"/>
        <v>0</v>
      </c>
      <c r="AA85" s="145">
        <f t="shared" si="12"/>
        <v>0</v>
      </c>
      <c r="AB85" s="143"/>
      <c r="AC85" s="143"/>
      <c r="AD85" s="143"/>
      <c r="AE85" s="143"/>
      <c r="AF85" s="143"/>
      <c r="AG85" s="143"/>
      <c r="AH85" s="143"/>
      <c r="AJ85" s="140" t="s">
        <v>295</v>
      </c>
      <c r="AK85" s="140"/>
      <c r="AL85" s="140"/>
      <c r="AM85" s="140"/>
      <c r="AN85" s="140"/>
      <c r="AO85" s="140"/>
      <c r="AP85" s="140"/>
      <c r="AQ85" s="140"/>
      <c r="AR85" s="140"/>
      <c r="AS85" s="140"/>
      <c r="AT85" s="140"/>
      <c r="AU85" s="140"/>
      <c r="AV85" s="140"/>
      <c r="AW85" s="140"/>
      <c r="AX85" s="141"/>
      <c r="AY85" s="141"/>
      <c r="AZ85" s="141"/>
      <c r="BA85" s="141"/>
      <c r="BB85" s="141"/>
      <c r="BC85" s="141"/>
      <c r="BD85" s="141"/>
      <c r="BE85" s="141"/>
      <c r="BF85" s="141"/>
      <c r="BG85" s="141"/>
      <c r="BH85" s="141"/>
      <c r="BI85" s="141">
        <f t="shared" si="13"/>
        <v>0</v>
      </c>
      <c r="BJ85" s="145">
        <f t="shared" si="13"/>
        <v>0</v>
      </c>
      <c r="BK85" s="143"/>
      <c r="BL85" s="143"/>
      <c r="BM85" s="143"/>
      <c r="BN85" s="143"/>
      <c r="BO85" s="143"/>
      <c r="BP85" s="143"/>
      <c r="BQ85" s="340"/>
    </row>
    <row r="86" spans="1:69" x14ac:dyDescent="0.25">
      <c r="A86" s="338" t="s">
        <v>296</v>
      </c>
      <c r="B86" s="140"/>
      <c r="C86" s="140"/>
      <c r="D86" s="140"/>
      <c r="E86" s="140"/>
      <c r="F86" s="140"/>
      <c r="G86" s="140"/>
      <c r="H86" s="140"/>
      <c r="I86" s="140"/>
      <c r="J86" s="140"/>
      <c r="K86" s="140"/>
      <c r="L86" s="140"/>
      <c r="M86" s="140"/>
      <c r="N86" s="140"/>
      <c r="O86" s="141"/>
      <c r="P86" s="141"/>
      <c r="Q86" s="141"/>
      <c r="R86" s="141"/>
      <c r="S86" s="141"/>
      <c r="T86" s="141"/>
      <c r="U86" s="141"/>
      <c r="V86" s="141"/>
      <c r="W86" s="141"/>
      <c r="X86" s="141"/>
      <c r="Y86" s="141"/>
      <c r="Z86" s="141">
        <f t="shared" si="12"/>
        <v>0</v>
      </c>
      <c r="AA86" s="145">
        <f t="shared" si="12"/>
        <v>0</v>
      </c>
      <c r="AB86" s="143"/>
      <c r="AC86" s="143"/>
      <c r="AD86" s="143"/>
      <c r="AE86" s="143"/>
      <c r="AF86" s="143"/>
      <c r="AG86" s="143"/>
      <c r="AH86" s="143"/>
      <c r="AJ86" s="140" t="s">
        <v>296</v>
      </c>
      <c r="AK86" s="140"/>
      <c r="AL86" s="140"/>
      <c r="AM86" s="140"/>
      <c r="AN86" s="140"/>
      <c r="AO86" s="140"/>
      <c r="AP86" s="140"/>
      <c r="AQ86" s="140"/>
      <c r="AR86" s="140"/>
      <c r="AS86" s="140"/>
      <c r="AT86" s="140"/>
      <c r="AU86" s="140"/>
      <c r="AV86" s="140"/>
      <c r="AW86" s="140"/>
      <c r="AX86" s="141"/>
      <c r="AY86" s="141"/>
      <c r="AZ86" s="141"/>
      <c r="BA86" s="141"/>
      <c r="BB86" s="141"/>
      <c r="BC86" s="141"/>
      <c r="BD86" s="141"/>
      <c r="BE86" s="141"/>
      <c r="BF86" s="141"/>
      <c r="BG86" s="141"/>
      <c r="BH86" s="141"/>
      <c r="BI86" s="141">
        <f t="shared" si="13"/>
        <v>0</v>
      </c>
      <c r="BJ86" s="145">
        <f t="shared" si="13"/>
        <v>0</v>
      </c>
      <c r="BK86" s="143"/>
      <c r="BL86" s="143"/>
      <c r="BM86" s="143"/>
      <c r="BN86" s="143"/>
      <c r="BO86" s="143"/>
      <c r="BP86" s="143"/>
      <c r="BQ86" s="340"/>
    </row>
    <row r="87" spans="1:69" x14ac:dyDescent="0.25">
      <c r="A87" s="338" t="s">
        <v>297</v>
      </c>
      <c r="B87" s="140"/>
      <c r="C87" s="140"/>
      <c r="D87" s="140"/>
      <c r="E87" s="140"/>
      <c r="F87" s="140"/>
      <c r="G87" s="140"/>
      <c r="H87" s="140"/>
      <c r="I87" s="140"/>
      <c r="J87" s="140"/>
      <c r="K87" s="140"/>
      <c r="L87" s="140"/>
      <c r="M87" s="140"/>
      <c r="N87" s="140"/>
      <c r="O87" s="141"/>
      <c r="P87" s="141"/>
      <c r="Q87" s="141"/>
      <c r="R87" s="141"/>
      <c r="S87" s="141"/>
      <c r="T87" s="141"/>
      <c r="U87" s="141"/>
      <c r="V87" s="141"/>
      <c r="W87" s="141"/>
      <c r="X87" s="141"/>
      <c r="Y87" s="141"/>
      <c r="Z87" s="141">
        <f t="shared" si="12"/>
        <v>0</v>
      </c>
      <c r="AA87" s="145">
        <f t="shared" si="12"/>
        <v>0</v>
      </c>
      <c r="AB87" s="143"/>
      <c r="AC87" s="143"/>
      <c r="AD87" s="143"/>
      <c r="AE87" s="143"/>
      <c r="AF87" s="143"/>
      <c r="AG87" s="143"/>
      <c r="AH87" s="143"/>
      <c r="AJ87" s="140" t="s">
        <v>297</v>
      </c>
      <c r="AK87" s="140"/>
      <c r="AL87" s="140"/>
      <c r="AM87" s="140"/>
      <c r="AN87" s="140"/>
      <c r="AO87" s="140"/>
      <c r="AP87" s="140"/>
      <c r="AQ87" s="140"/>
      <c r="AR87" s="140"/>
      <c r="AS87" s="140"/>
      <c r="AT87" s="140"/>
      <c r="AU87" s="140"/>
      <c r="AV87" s="140"/>
      <c r="AW87" s="140"/>
      <c r="AX87" s="141"/>
      <c r="AY87" s="141"/>
      <c r="AZ87" s="141"/>
      <c r="BA87" s="141"/>
      <c r="BB87" s="141"/>
      <c r="BC87" s="141"/>
      <c r="BD87" s="141"/>
      <c r="BE87" s="141"/>
      <c r="BF87" s="141"/>
      <c r="BG87" s="141"/>
      <c r="BH87" s="141"/>
      <c r="BI87" s="141">
        <f t="shared" si="13"/>
        <v>0</v>
      </c>
      <c r="BJ87" s="145">
        <f t="shared" si="13"/>
        <v>0</v>
      </c>
      <c r="BK87" s="143"/>
      <c r="BL87" s="143"/>
      <c r="BM87" s="143"/>
      <c r="BN87" s="143"/>
      <c r="BO87" s="143"/>
      <c r="BP87" s="143"/>
      <c r="BQ87" s="340"/>
    </row>
    <row r="88" spans="1:69" x14ac:dyDescent="0.25">
      <c r="A88" s="338" t="s">
        <v>298</v>
      </c>
      <c r="B88" s="140"/>
      <c r="C88" s="140"/>
      <c r="D88" s="140"/>
      <c r="E88" s="140"/>
      <c r="F88" s="140"/>
      <c r="G88" s="140"/>
      <c r="H88" s="140"/>
      <c r="I88" s="140"/>
      <c r="J88" s="140"/>
      <c r="K88" s="140"/>
      <c r="L88" s="140"/>
      <c r="M88" s="140"/>
      <c r="N88" s="140"/>
      <c r="O88" s="141"/>
      <c r="P88" s="141"/>
      <c r="Q88" s="141"/>
      <c r="R88" s="141"/>
      <c r="S88" s="141"/>
      <c r="T88" s="141"/>
      <c r="U88" s="141"/>
      <c r="V88" s="141"/>
      <c r="W88" s="141"/>
      <c r="X88" s="141"/>
      <c r="Y88" s="141"/>
      <c r="Z88" s="141">
        <f t="shared" si="12"/>
        <v>0</v>
      </c>
      <c r="AA88" s="145">
        <f t="shared" si="12"/>
        <v>0</v>
      </c>
      <c r="AB88" s="143"/>
      <c r="AC88" s="143"/>
      <c r="AD88" s="143"/>
      <c r="AE88" s="143"/>
      <c r="AF88" s="143"/>
      <c r="AG88" s="143"/>
      <c r="AH88" s="143"/>
      <c r="AJ88" s="140" t="s">
        <v>298</v>
      </c>
      <c r="AK88" s="140"/>
      <c r="AL88" s="140"/>
      <c r="AM88" s="140"/>
      <c r="AN88" s="140"/>
      <c r="AO88" s="140"/>
      <c r="AP88" s="140"/>
      <c r="AQ88" s="140"/>
      <c r="AR88" s="140"/>
      <c r="AS88" s="140"/>
      <c r="AT88" s="140"/>
      <c r="AU88" s="140"/>
      <c r="AV88" s="140"/>
      <c r="AW88" s="140"/>
      <c r="AX88" s="141"/>
      <c r="AY88" s="141"/>
      <c r="AZ88" s="141"/>
      <c r="BA88" s="141"/>
      <c r="BB88" s="141"/>
      <c r="BC88" s="141"/>
      <c r="BD88" s="141"/>
      <c r="BE88" s="141"/>
      <c r="BF88" s="141"/>
      <c r="BG88" s="141"/>
      <c r="BH88" s="141"/>
      <c r="BI88" s="141">
        <f t="shared" si="13"/>
        <v>0</v>
      </c>
      <c r="BJ88" s="145">
        <f t="shared" si="13"/>
        <v>0</v>
      </c>
      <c r="BK88" s="143"/>
      <c r="BL88" s="143"/>
      <c r="BM88" s="143"/>
      <c r="BN88" s="143"/>
      <c r="BO88" s="143"/>
      <c r="BP88" s="143"/>
      <c r="BQ88" s="340"/>
    </row>
    <row r="89" spans="1:69" ht="15.75" thickBot="1" x14ac:dyDescent="0.3">
      <c r="A89" s="343" t="s">
        <v>299</v>
      </c>
      <c r="B89" s="344">
        <f>SUM(B69:B88)</f>
        <v>150</v>
      </c>
      <c r="C89" s="344">
        <f t="shared" ref="C89:AH89" si="14">SUM(C69:C88)</f>
        <v>0</v>
      </c>
      <c r="D89" s="344">
        <f t="shared" si="14"/>
        <v>370</v>
      </c>
      <c r="E89" s="344">
        <f t="shared" si="14"/>
        <v>0</v>
      </c>
      <c r="F89" s="344">
        <f t="shared" si="14"/>
        <v>370</v>
      </c>
      <c r="G89" s="344">
        <f t="shared" si="14"/>
        <v>0</v>
      </c>
      <c r="H89" s="344">
        <f t="shared" si="14"/>
        <v>0</v>
      </c>
      <c r="I89" s="344">
        <f t="shared" si="14"/>
        <v>0</v>
      </c>
      <c r="J89" s="344">
        <f t="shared" si="14"/>
        <v>0</v>
      </c>
      <c r="K89" s="344">
        <f t="shared" si="14"/>
        <v>0</v>
      </c>
      <c r="L89" s="344">
        <f t="shared" si="14"/>
        <v>0</v>
      </c>
      <c r="M89" s="344">
        <f t="shared" si="14"/>
        <v>0</v>
      </c>
      <c r="N89" s="344">
        <f t="shared" si="14"/>
        <v>0</v>
      </c>
      <c r="O89" s="344">
        <f t="shared" si="14"/>
        <v>0</v>
      </c>
      <c r="P89" s="344">
        <f t="shared" si="14"/>
        <v>0</v>
      </c>
      <c r="Q89" s="344">
        <f t="shared" si="14"/>
        <v>0</v>
      </c>
      <c r="R89" s="344">
        <f t="shared" si="14"/>
        <v>0</v>
      </c>
      <c r="S89" s="344">
        <f t="shared" si="14"/>
        <v>0</v>
      </c>
      <c r="T89" s="344">
        <f t="shared" si="14"/>
        <v>0</v>
      </c>
      <c r="U89" s="344">
        <f t="shared" si="14"/>
        <v>0</v>
      </c>
      <c r="V89" s="344">
        <f t="shared" si="14"/>
        <v>0</v>
      </c>
      <c r="W89" s="344">
        <f t="shared" si="14"/>
        <v>0</v>
      </c>
      <c r="X89" s="344">
        <f t="shared" si="14"/>
        <v>0</v>
      </c>
      <c r="Y89" s="344">
        <f t="shared" si="14"/>
        <v>0</v>
      </c>
      <c r="Z89" s="344">
        <f t="shared" si="14"/>
        <v>890</v>
      </c>
      <c r="AA89" s="344">
        <f t="shared" si="14"/>
        <v>0</v>
      </c>
      <c r="AB89" s="344">
        <v>385</v>
      </c>
      <c r="AC89" s="344">
        <f t="shared" si="14"/>
        <v>0</v>
      </c>
      <c r="AD89" s="344">
        <f t="shared" si="14"/>
        <v>0</v>
      </c>
      <c r="AE89" s="344">
        <f t="shared" si="14"/>
        <v>0</v>
      </c>
      <c r="AF89" s="344">
        <f t="shared" si="14"/>
        <v>128</v>
      </c>
      <c r="AG89" s="344">
        <f t="shared" si="14"/>
        <v>251</v>
      </c>
      <c r="AH89" s="344">
        <f t="shared" si="14"/>
        <v>6</v>
      </c>
      <c r="AI89" s="345"/>
      <c r="AJ89" s="346" t="s">
        <v>299</v>
      </c>
      <c r="AK89" s="344">
        <f t="shared" ref="AK89:BQ89" si="15">SUM(AK69:AK88)</f>
        <v>338</v>
      </c>
      <c r="AL89" s="344">
        <f t="shared" si="15"/>
        <v>0</v>
      </c>
      <c r="AM89" s="344">
        <f t="shared" si="15"/>
        <v>578</v>
      </c>
      <c r="AN89" s="344">
        <f t="shared" si="15"/>
        <v>0</v>
      </c>
      <c r="AO89" s="344">
        <f t="shared" si="15"/>
        <v>562</v>
      </c>
      <c r="AP89" s="344">
        <f t="shared" si="15"/>
        <v>0</v>
      </c>
      <c r="AQ89" s="344">
        <f t="shared" si="15"/>
        <v>445</v>
      </c>
      <c r="AR89" s="344">
        <f t="shared" si="15"/>
        <v>0</v>
      </c>
      <c r="AS89" s="344">
        <f t="shared" si="15"/>
        <v>530</v>
      </c>
      <c r="AT89" s="344">
        <f t="shared" si="15"/>
        <v>0</v>
      </c>
      <c r="AU89" s="344">
        <f t="shared" si="15"/>
        <v>500</v>
      </c>
      <c r="AV89" s="344">
        <f t="shared" si="15"/>
        <v>0</v>
      </c>
      <c r="AW89" s="344">
        <f t="shared" si="15"/>
        <v>618</v>
      </c>
      <c r="AX89" s="344">
        <f t="shared" si="15"/>
        <v>0</v>
      </c>
      <c r="AY89" s="344">
        <f t="shared" si="15"/>
        <v>608</v>
      </c>
      <c r="AZ89" s="344">
        <f t="shared" si="15"/>
        <v>0</v>
      </c>
      <c r="BA89" s="344">
        <f t="shared" si="15"/>
        <v>552</v>
      </c>
      <c r="BB89" s="344">
        <f t="shared" si="15"/>
        <v>0</v>
      </c>
      <c r="BC89" s="344">
        <f t="shared" si="15"/>
        <v>442</v>
      </c>
      <c r="BD89" s="344">
        <f t="shared" si="15"/>
        <v>0</v>
      </c>
      <c r="BE89" s="344">
        <f t="shared" si="15"/>
        <v>560</v>
      </c>
      <c r="BF89" s="344">
        <f t="shared" si="15"/>
        <v>0</v>
      </c>
      <c r="BG89" s="344">
        <f t="shared" si="15"/>
        <v>419</v>
      </c>
      <c r="BH89" s="344">
        <f t="shared" si="15"/>
        <v>0</v>
      </c>
      <c r="BI89" s="344">
        <f t="shared" si="15"/>
        <v>6152</v>
      </c>
      <c r="BJ89" s="344">
        <f t="shared" si="15"/>
        <v>0</v>
      </c>
      <c r="BK89" s="344">
        <v>385</v>
      </c>
      <c r="BL89" s="344">
        <f t="shared" si="15"/>
        <v>0</v>
      </c>
      <c r="BM89" s="344">
        <f t="shared" si="15"/>
        <v>0</v>
      </c>
      <c r="BN89" s="344">
        <f t="shared" si="15"/>
        <v>0</v>
      </c>
      <c r="BO89" s="344">
        <f t="shared" si="15"/>
        <v>122</v>
      </c>
      <c r="BP89" s="344">
        <f t="shared" si="15"/>
        <v>167</v>
      </c>
      <c r="BQ89" s="347">
        <f t="shared" si="15"/>
        <v>4</v>
      </c>
    </row>
  </sheetData>
  <mergeCells count="112">
    <mergeCell ref="AY66:AZ66"/>
    <mergeCell ref="BA66:BB66"/>
    <mergeCell ref="BC66:BD66"/>
    <mergeCell ref="BE66:BF66"/>
    <mergeCell ref="BG66:BH66"/>
    <mergeCell ref="AO66:AP66"/>
    <mergeCell ref="AQ66:AR66"/>
    <mergeCell ref="AS66:AT66"/>
    <mergeCell ref="AU66:AV66"/>
    <mergeCell ref="AW66:AX66"/>
    <mergeCell ref="AB66:AB67"/>
    <mergeCell ref="AC66:AH66"/>
    <mergeCell ref="AJ66:AJ67"/>
    <mergeCell ref="AK66:AL66"/>
    <mergeCell ref="AM66:AN66"/>
    <mergeCell ref="B63:BQ63"/>
    <mergeCell ref="B64:BQ64"/>
    <mergeCell ref="A66:A67"/>
    <mergeCell ref="B66:C66"/>
    <mergeCell ref="D66:E66"/>
    <mergeCell ref="F66:G66"/>
    <mergeCell ref="H66:I66"/>
    <mergeCell ref="J66:K66"/>
    <mergeCell ref="L66:M66"/>
    <mergeCell ref="N66:O66"/>
    <mergeCell ref="P66:Q66"/>
    <mergeCell ref="R66:S66"/>
    <mergeCell ref="T66:U66"/>
    <mergeCell ref="V66:W66"/>
    <mergeCell ref="X66:Y66"/>
    <mergeCell ref="Z66:AA66"/>
    <mergeCell ref="BI66:BJ66"/>
    <mergeCell ref="BK66:BK67"/>
    <mergeCell ref="BL66:BQ66"/>
    <mergeCell ref="BC9:BD9"/>
    <mergeCell ref="BE9:BF9"/>
    <mergeCell ref="BG9:BH9"/>
    <mergeCell ref="BL9:BQ9"/>
    <mergeCell ref="B35:BQ35"/>
    <mergeCell ref="R38:S38"/>
    <mergeCell ref="T38:U38"/>
    <mergeCell ref="V38:W38"/>
    <mergeCell ref="X38:Y38"/>
    <mergeCell ref="Z9:AA9"/>
    <mergeCell ref="AB9:AB10"/>
    <mergeCell ref="AC9:AH9"/>
    <mergeCell ref="AJ9:AJ10"/>
    <mergeCell ref="AK9:AL9"/>
    <mergeCell ref="X9:Y9"/>
    <mergeCell ref="B36:BQ36"/>
    <mergeCell ref="AB38:AB39"/>
    <mergeCell ref="BI38:BJ38"/>
    <mergeCell ref="BK38:BK39"/>
    <mergeCell ref="AU38:AV38"/>
    <mergeCell ref="AW38:AX38"/>
    <mergeCell ref="AY38:AZ38"/>
    <mergeCell ref="BA38:BB38"/>
    <mergeCell ref="BC38:BD38"/>
    <mergeCell ref="BE38:BF38"/>
    <mergeCell ref="AK38:AL38"/>
    <mergeCell ref="AM38:AN38"/>
    <mergeCell ref="AO38:AP38"/>
    <mergeCell ref="AQ38:AR38"/>
    <mergeCell ref="AS38:AT38"/>
    <mergeCell ref="AC38:AH38"/>
    <mergeCell ref="BG38:BH38"/>
    <mergeCell ref="BL38:BQ38"/>
    <mergeCell ref="Z38:AA38"/>
    <mergeCell ref="AJ38:AJ39"/>
    <mergeCell ref="A38:A39"/>
    <mergeCell ref="B38:C38"/>
    <mergeCell ref="D38:E38"/>
    <mergeCell ref="F38:G38"/>
    <mergeCell ref="H38:I38"/>
    <mergeCell ref="J38:K38"/>
    <mergeCell ref="L38:M38"/>
    <mergeCell ref="N38:O38"/>
    <mergeCell ref="P38:Q38"/>
    <mergeCell ref="A9:A10"/>
    <mergeCell ref="B9:C9"/>
    <mergeCell ref="D9:E9"/>
    <mergeCell ref="F9:G9"/>
    <mergeCell ref="H9:I9"/>
    <mergeCell ref="J9:K9"/>
    <mergeCell ref="L9:M9"/>
    <mergeCell ref="B6:BQ6"/>
    <mergeCell ref="N9:O9"/>
    <mergeCell ref="P9:Q9"/>
    <mergeCell ref="R9:S9"/>
    <mergeCell ref="T9:U9"/>
    <mergeCell ref="V9:W9"/>
    <mergeCell ref="B7:BQ7"/>
    <mergeCell ref="AY9:AZ9"/>
    <mergeCell ref="AM9:AN9"/>
    <mergeCell ref="AO9:AP9"/>
    <mergeCell ref="AQ9:AR9"/>
    <mergeCell ref="AS9:AT9"/>
    <mergeCell ref="AU9:AV9"/>
    <mergeCell ref="AW9:AX9"/>
    <mergeCell ref="BI9:BJ9"/>
    <mergeCell ref="BK9:BK10"/>
    <mergeCell ref="BA9:BB9"/>
    <mergeCell ref="BO4:BQ4"/>
    <mergeCell ref="A4:BN4"/>
    <mergeCell ref="BO1:BQ1"/>
    <mergeCell ref="BO2:BQ2"/>
    <mergeCell ref="BO3:BQ3"/>
    <mergeCell ref="A1:BN1"/>
    <mergeCell ref="A2:BN2"/>
    <mergeCell ref="A3:BN3"/>
    <mergeCell ref="A5:AH5"/>
    <mergeCell ref="AJ5:BQ5"/>
  </mergeCells>
  <printOptions horizontalCentered="1"/>
  <pageMargins left="0.19685039370078741" right="0.19685039370078741" top="0.19685039370078741" bottom="0.19685039370078741" header="0" footer="0"/>
  <pageSetup paperSize="9" scale="17"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B53"/>
  <sheetViews>
    <sheetView topLeftCell="A52" zoomScale="60" zoomScaleNormal="60" workbookViewId="0">
      <selection activeCell="K10" sqref="K10"/>
    </sheetView>
  </sheetViews>
  <sheetFormatPr baseColWidth="10" defaultColWidth="10.85546875" defaultRowHeight="15" x14ac:dyDescent="0.25"/>
  <cols>
    <col min="1" max="1" width="52.140625" style="124" customWidth="1"/>
    <col min="2" max="2" width="73.42578125" style="124" customWidth="1"/>
    <col min="3" max="3" width="10.85546875" style="124"/>
    <col min="4" max="4" width="31.140625" style="124" customWidth="1"/>
    <col min="5" max="5" width="21.85546875" style="124" customWidth="1"/>
    <col min="6" max="6" width="19.42578125" style="124" customWidth="1"/>
    <col min="7" max="7" width="42" style="124" customWidth="1"/>
    <col min="8" max="16384" width="10.85546875" style="124"/>
  </cols>
  <sheetData>
    <row r="1" spans="1:2" ht="25.5" customHeight="1" x14ac:dyDescent="0.25">
      <c r="A1" s="929" t="s">
        <v>147</v>
      </c>
      <c r="B1" s="930"/>
    </row>
    <row r="2" spans="1:2" ht="25.5" customHeight="1" x14ac:dyDescent="0.25">
      <c r="A2" s="931" t="s">
        <v>304</v>
      </c>
      <c r="B2" s="932"/>
    </row>
    <row r="3" spans="1:2" x14ac:dyDescent="0.25">
      <c r="A3" s="125" t="s">
        <v>305</v>
      </c>
      <c r="B3" s="125" t="s">
        <v>306</v>
      </c>
    </row>
    <row r="4" spans="1:2" x14ac:dyDescent="0.25">
      <c r="A4" s="126" t="s">
        <v>9</v>
      </c>
      <c r="B4" s="134" t="s">
        <v>307</v>
      </c>
    </row>
    <row r="5" spans="1:2" ht="105" x14ac:dyDescent="0.25">
      <c r="A5" s="126" t="s">
        <v>10</v>
      </c>
      <c r="B5" s="133" t="s">
        <v>308</v>
      </c>
    </row>
    <row r="6" spans="1:2" x14ac:dyDescent="0.25">
      <c r="A6" s="126" t="s">
        <v>15</v>
      </c>
      <c r="B6" s="933" t="s">
        <v>309</v>
      </c>
    </row>
    <row r="7" spans="1:2" x14ac:dyDescent="0.25">
      <c r="A7" s="126" t="s">
        <v>17</v>
      </c>
      <c r="B7" s="934"/>
    </row>
    <row r="8" spans="1:2" x14ac:dyDescent="0.25">
      <c r="A8" s="126" t="s">
        <v>19</v>
      </c>
      <c r="B8" s="934"/>
    </row>
    <row r="9" spans="1:2" x14ac:dyDescent="0.25">
      <c r="A9" s="126" t="s">
        <v>310</v>
      </c>
      <c r="B9" s="935"/>
    </row>
    <row r="10" spans="1:2" ht="30" x14ac:dyDescent="0.25">
      <c r="A10" s="126" t="s">
        <v>7</v>
      </c>
      <c r="B10" s="127" t="s">
        <v>311</v>
      </c>
    </row>
    <row r="11" spans="1:2" ht="45" x14ac:dyDescent="0.25">
      <c r="A11" s="126" t="s">
        <v>27</v>
      </c>
      <c r="B11" s="127" t="s">
        <v>312</v>
      </c>
    </row>
    <row r="12" spans="1:2" ht="60" x14ac:dyDescent="0.25">
      <c r="A12" s="126" t="s">
        <v>26</v>
      </c>
      <c r="B12" s="128" t="s">
        <v>313</v>
      </c>
    </row>
    <row r="13" spans="1:2" ht="30" x14ac:dyDescent="0.25">
      <c r="A13" s="126" t="s">
        <v>314</v>
      </c>
      <c r="B13" s="128" t="s">
        <v>315</v>
      </c>
    </row>
    <row r="14" spans="1:2" ht="45" x14ac:dyDescent="0.25">
      <c r="A14" s="126" t="s">
        <v>316</v>
      </c>
      <c r="B14" s="128" t="s">
        <v>317</v>
      </c>
    </row>
    <row r="15" spans="1:2" ht="72" customHeight="1" x14ac:dyDescent="0.25">
      <c r="A15" s="129" t="s">
        <v>318</v>
      </c>
      <c r="B15" s="130" t="s">
        <v>319</v>
      </c>
    </row>
    <row r="16" spans="1:2" ht="194.25" x14ac:dyDescent="0.25">
      <c r="A16" s="129" t="s">
        <v>320</v>
      </c>
      <c r="B16" s="131" t="s">
        <v>321</v>
      </c>
    </row>
    <row r="17" spans="1:2" ht="25.5" customHeight="1" x14ac:dyDescent="0.25">
      <c r="A17" s="931" t="s">
        <v>322</v>
      </c>
      <c r="B17" s="932"/>
    </row>
    <row r="18" spans="1:2" x14ac:dyDescent="0.25">
      <c r="A18" s="125" t="s">
        <v>305</v>
      </c>
      <c r="B18" s="125" t="s">
        <v>306</v>
      </c>
    </row>
    <row r="19" spans="1:2" x14ac:dyDescent="0.25">
      <c r="A19" s="126" t="s">
        <v>9</v>
      </c>
      <c r="B19" s="134" t="s">
        <v>307</v>
      </c>
    </row>
    <row r="20" spans="1:2" ht="105" x14ac:dyDescent="0.25">
      <c r="A20" s="126" t="s">
        <v>10</v>
      </c>
      <c r="B20" s="133" t="s">
        <v>308</v>
      </c>
    </row>
    <row r="21" spans="1:2" ht="30" x14ac:dyDescent="0.25">
      <c r="A21" s="126" t="s">
        <v>323</v>
      </c>
      <c r="B21" s="128" t="s">
        <v>324</v>
      </c>
    </row>
    <row r="22" spans="1:2" ht="45" x14ac:dyDescent="0.25">
      <c r="A22" s="126" t="s">
        <v>325</v>
      </c>
      <c r="B22" s="128" t="s">
        <v>326</v>
      </c>
    </row>
    <row r="23" spans="1:2" ht="75" x14ac:dyDescent="0.25">
      <c r="A23" s="126" t="s">
        <v>327</v>
      </c>
      <c r="B23" s="128" t="s">
        <v>328</v>
      </c>
    </row>
    <row r="24" spans="1:2" ht="30" x14ac:dyDescent="0.25">
      <c r="A24" s="126" t="s">
        <v>329</v>
      </c>
      <c r="B24" s="128" t="s">
        <v>330</v>
      </c>
    </row>
    <row r="25" spans="1:2" ht="54" customHeight="1" x14ac:dyDescent="0.25">
      <c r="A25" s="126" t="s">
        <v>331</v>
      </c>
      <c r="B25" s="128" t="s">
        <v>332</v>
      </c>
    </row>
    <row r="26" spans="1:2" ht="59.25" customHeight="1" x14ac:dyDescent="0.25">
      <c r="A26" s="126" t="s">
        <v>333</v>
      </c>
      <c r="B26" s="132" t="s">
        <v>334</v>
      </c>
    </row>
    <row r="27" spans="1:2" ht="75" x14ac:dyDescent="0.25">
      <c r="A27" s="126" t="s">
        <v>161</v>
      </c>
      <c r="B27" s="132" t="s">
        <v>335</v>
      </c>
    </row>
    <row r="28" spans="1:2" ht="45" x14ac:dyDescent="0.25">
      <c r="A28" s="126" t="s">
        <v>336</v>
      </c>
      <c r="B28" s="132" t="s">
        <v>337</v>
      </c>
    </row>
    <row r="29" spans="1:2" ht="45" x14ac:dyDescent="0.25">
      <c r="A29" s="126" t="s">
        <v>338</v>
      </c>
      <c r="B29" s="132" t="s">
        <v>339</v>
      </c>
    </row>
    <row r="30" spans="1:2" ht="45" x14ac:dyDescent="0.25">
      <c r="A30" s="126" t="s">
        <v>340</v>
      </c>
      <c r="B30" s="132" t="s">
        <v>341</v>
      </c>
    </row>
    <row r="31" spans="1:2" ht="144" customHeight="1" x14ac:dyDescent="0.25">
      <c r="A31" s="126" t="s">
        <v>342</v>
      </c>
      <c r="B31" s="132" t="s">
        <v>343</v>
      </c>
    </row>
    <row r="32" spans="1:2" ht="30" x14ac:dyDescent="0.25">
      <c r="A32" s="126" t="s">
        <v>344</v>
      </c>
      <c r="B32" s="132" t="s">
        <v>345</v>
      </c>
    </row>
    <row r="33" spans="1:2" ht="30" x14ac:dyDescent="0.25">
      <c r="A33" s="126" t="s">
        <v>346</v>
      </c>
      <c r="B33" s="132" t="s">
        <v>347</v>
      </c>
    </row>
    <row r="34" spans="1:2" ht="30" x14ac:dyDescent="0.25">
      <c r="A34" s="126" t="s">
        <v>348</v>
      </c>
      <c r="B34" s="132" t="s">
        <v>349</v>
      </c>
    </row>
    <row r="35" spans="1:2" ht="30" x14ac:dyDescent="0.25">
      <c r="A35" s="126" t="s">
        <v>350</v>
      </c>
      <c r="B35" s="132" t="s">
        <v>351</v>
      </c>
    </row>
    <row r="36" spans="1:2" ht="90" x14ac:dyDescent="0.25">
      <c r="A36" s="126" t="s">
        <v>151</v>
      </c>
      <c r="B36" s="132" t="s">
        <v>352</v>
      </c>
    </row>
    <row r="37" spans="1:2" ht="45" x14ac:dyDescent="0.25">
      <c r="A37" s="126" t="s">
        <v>353</v>
      </c>
      <c r="B37" s="132" t="s">
        <v>354</v>
      </c>
    </row>
    <row r="38" spans="1:2" ht="42.75" x14ac:dyDescent="0.25">
      <c r="A38" s="129" t="s">
        <v>153</v>
      </c>
      <c r="B38" s="132" t="s">
        <v>355</v>
      </c>
    </row>
    <row r="39" spans="1:2" ht="25.5" customHeight="1" x14ac:dyDescent="0.25">
      <c r="A39" s="931" t="s">
        <v>356</v>
      </c>
      <c r="B39" s="932"/>
    </row>
    <row r="40" spans="1:2" x14ac:dyDescent="0.25">
      <c r="A40" s="929" t="s">
        <v>357</v>
      </c>
      <c r="B40" s="930"/>
    </row>
    <row r="41" spans="1:2" ht="35.25" customHeight="1" x14ac:dyDescent="0.25">
      <c r="A41" s="927" t="s">
        <v>358</v>
      </c>
      <c r="B41" s="928"/>
    </row>
    <row r="50" ht="26.25" customHeight="1" x14ac:dyDescent="0.25"/>
    <row r="51" ht="28.5" customHeight="1" x14ac:dyDescent="0.25"/>
    <row r="52" ht="27.75" customHeight="1" x14ac:dyDescent="0.25"/>
    <row r="53" ht="28.5" customHeight="1" x14ac:dyDescent="0.25"/>
  </sheetData>
  <mergeCells count="7">
    <mergeCell ref="A41:B41"/>
    <mergeCell ref="A1:B1"/>
    <mergeCell ref="A2:B2"/>
    <mergeCell ref="B6:B9"/>
    <mergeCell ref="A17:B17"/>
    <mergeCell ref="A39:B39"/>
    <mergeCell ref="A40:B4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I56"/>
  <sheetViews>
    <sheetView topLeftCell="B13" zoomScale="60" zoomScaleNormal="60" workbookViewId="0">
      <selection activeCell="I49" sqref="I49"/>
    </sheetView>
  </sheetViews>
  <sheetFormatPr baseColWidth="10" defaultColWidth="11.42578125" defaultRowHeight="15" x14ac:dyDescent="0.25"/>
  <cols>
    <col min="1" max="1" width="66.42578125" style="108" customWidth="1"/>
    <col min="2" max="2" width="61.85546875" style="108" customWidth="1"/>
    <col min="3" max="3" width="61.140625" style="108" customWidth="1"/>
    <col min="4" max="4" width="81" style="108" customWidth="1"/>
    <col min="5" max="5" width="32.85546875" style="124" customWidth="1"/>
    <col min="6" max="6" width="19" style="108" customWidth="1"/>
    <col min="7" max="7" width="25.42578125" style="108" customWidth="1"/>
    <col min="8" max="8" width="23.42578125" style="108" customWidth="1"/>
    <col min="9" max="9" width="40" style="108" customWidth="1"/>
    <col min="10" max="16384" width="11.42578125" style="108"/>
  </cols>
  <sheetData>
    <row r="1" spans="1:9" s="112" customFormat="1" x14ac:dyDescent="0.25">
      <c r="A1" s="111" t="s">
        <v>359</v>
      </c>
      <c r="B1" s="111" t="s">
        <v>360</v>
      </c>
      <c r="C1" s="111" t="s">
        <v>361</v>
      </c>
      <c r="D1" s="111" t="s">
        <v>362</v>
      </c>
      <c r="E1" s="111" t="s">
        <v>340</v>
      </c>
      <c r="F1" s="111" t="s">
        <v>363</v>
      </c>
      <c r="G1" s="111" t="s">
        <v>364</v>
      </c>
      <c r="H1" s="111" t="s">
        <v>267</v>
      </c>
      <c r="I1" s="111" t="s">
        <v>331</v>
      </c>
    </row>
    <row r="2" spans="1:9" s="112" customFormat="1" x14ac:dyDescent="0.25">
      <c r="A2" s="113" t="s">
        <v>365</v>
      </c>
      <c r="B2" s="109" t="s">
        <v>366</v>
      </c>
      <c r="C2" s="113" t="s">
        <v>367</v>
      </c>
      <c r="D2" s="114" t="s">
        <v>368</v>
      </c>
      <c r="E2" s="110" t="s">
        <v>369</v>
      </c>
      <c r="F2" s="115" t="s">
        <v>370</v>
      </c>
      <c r="G2" s="116" t="s">
        <v>371</v>
      </c>
      <c r="H2" s="116" t="s">
        <v>372</v>
      </c>
      <c r="I2" s="115" t="s">
        <v>373</v>
      </c>
    </row>
    <row r="3" spans="1:9" x14ac:dyDescent="0.25">
      <c r="A3" s="113" t="s">
        <v>374</v>
      </c>
      <c r="B3" s="109" t="s">
        <v>375</v>
      </c>
      <c r="C3" s="113" t="s">
        <v>376</v>
      </c>
      <c r="D3" s="117" t="s">
        <v>377</v>
      </c>
      <c r="E3" s="110" t="s">
        <v>378</v>
      </c>
      <c r="F3" s="115" t="s">
        <v>379</v>
      </c>
      <c r="G3" s="116" t="s">
        <v>380</v>
      </c>
      <c r="H3" s="116" t="s">
        <v>381</v>
      </c>
      <c r="I3" s="115" t="s">
        <v>382</v>
      </c>
    </row>
    <row r="4" spans="1:9" x14ac:dyDescent="0.25">
      <c r="A4" s="113" t="s">
        <v>155</v>
      </c>
      <c r="B4" s="109" t="s">
        <v>383</v>
      </c>
      <c r="C4" s="113" t="s">
        <v>384</v>
      </c>
      <c r="D4" s="117" t="s">
        <v>385</v>
      </c>
      <c r="E4" s="110" t="s">
        <v>386</v>
      </c>
      <c r="F4" s="115" t="s">
        <v>387</v>
      </c>
      <c r="G4" s="116" t="s">
        <v>388</v>
      </c>
      <c r="H4" s="116" t="s">
        <v>389</v>
      </c>
      <c r="I4" s="115" t="s">
        <v>390</v>
      </c>
    </row>
    <row r="5" spans="1:9" x14ac:dyDescent="0.25">
      <c r="A5" s="113" t="s">
        <v>391</v>
      </c>
      <c r="B5" s="109" t="s">
        <v>392</v>
      </c>
      <c r="C5" s="113" t="s">
        <v>393</v>
      </c>
      <c r="D5" s="117" t="s">
        <v>394</v>
      </c>
      <c r="E5" s="110" t="s">
        <v>395</v>
      </c>
      <c r="F5" s="115" t="s">
        <v>396</v>
      </c>
      <c r="G5" s="116" t="s">
        <v>397</v>
      </c>
      <c r="H5" s="116" t="s">
        <v>398</v>
      </c>
      <c r="I5" s="115" t="s">
        <v>399</v>
      </c>
    </row>
    <row r="6" spans="1:9" ht="30" x14ac:dyDescent="0.25">
      <c r="A6" s="113" t="s">
        <v>400</v>
      </c>
      <c r="B6" s="109" t="s">
        <v>401</v>
      </c>
      <c r="C6" s="113" t="s">
        <v>402</v>
      </c>
      <c r="D6" s="117" t="s">
        <v>403</v>
      </c>
      <c r="E6" s="110" t="s">
        <v>404</v>
      </c>
      <c r="H6" s="116" t="s">
        <v>405</v>
      </c>
      <c r="I6" s="115" t="s">
        <v>406</v>
      </c>
    </row>
    <row r="7" spans="1:9" ht="30" x14ac:dyDescent="0.25">
      <c r="B7" s="109" t="s">
        <v>407</v>
      </c>
      <c r="C7" s="113" t="s">
        <v>408</v>
      </c>
      <c r="D7" s="117" t="s">
        <v>409</v>
      </c>
      <c r="E7" s="115" t="s">
        <v>410</v>
      </c>
      <c r="H7" s="116" t="s">
        <v>411</v>
      </c>
      <c r="I7" s="115" t="s">
        <v>412</v>
      </c>
    </row>
    <row r="8" spans="1:9" ht="30" x14ac:dyDescent="0.25">
      <c r="A8" s="118"/>
      <c r="B8" s="109" t="s">
        <v>413</v>
      </c>
      <c r="C8" s="113" t="s">
        <v>414</v>
      </c>
      <c r="D8" s="117" t="s">
        <v>415</v>
      </c>
      <c r="E8" s="115" t="s">
        <v>416</v>
      </c>
      <c r="I8" s="115" t="s">
        <v>417</v>
      </c>
    </row>
    <row r="9" spans="1:9" ht="32.25" customHeight="1" x14ac:dyDescent="0.25">
      <c r="A9" s="118"/>
      <c r="B9" s="109" t="s">
        <v>418</v>
      </c>
      <c r="C9" s="113" t="s">
        <v>419</v>
      </c>
      <c r="D9" s="117" t="s">
        <v>420</v>
      </c>
      <c r="E9" s="115" t="s">
        <v>421</v>
      </c>
      <c r="I9" s="115" t="s">
        <v>422</v>
      </c>
    </row>
    <row r="10" spans="1:9" x14ac:dyDescent="0.25">
      <c r="A10" s="118"/>
      <c r="B10" s="109" t="s">
        <v>423</v>
      </c>
      <c r="C10" s="113" t="s">
        <v>424</v>
      </c>
      <c r="D10" s="117" t="s">
        <v>425</v>
      </c>
      <c r="E10" s="115" t="s">
        <v>426</v>
      </c>
      <c r="I10" s="115" t="s">
        <v>427</v>
      </c>
    </row>
    <row r="11" spans="1:9" x14ac:dyDescent="0.25">
      <c r="A11" s="118"/>
      <c r="B11" s="109" t="s">
        <v>428</v>
      </c>
      <c r="C11" s="113" t="s">
        <v>429</v>
      </c>
      <c r="D11" s="117" t="s">
        <v>430</v>
      </c>
      <c r="E11" s="115" t="s">
        <v>431</v>
      </c>
      <c r="I11" s="115" t="s">
        <v>432</v>
      </c>
    </row>
    <row r="12" spans="1:9" ht="30" x14ac:dyDescent="0.25">
      <c r="A12" s="118"/>
      <c r="B12" s="109" t="s">
        <v>433</v>
      </c>
      <c r="C12" s="113" t="s">
        <v>434</v>
      </c>
      <c r="D12" s="117" t="s">
        <v>191</v>
      </c>
      <c r="E12" s="115" t="s">
        <v>435</v>
      </c>
      <c r="I12" s="115" t="s">
        <v>436</v>
      </c>
    </row>
    <row r="13" spans="1:9" x14ac:dyDescent="0.25">
      <c r="A13" s="118"/>
      <c r="B13" s="156" t="s">
        <v>437</v>
      </c>
      <c r="D13" s="117" t="s">
        <v>199</v>
      </c>
      <c r="E13" s="115" t="s">
        <v>438</v>
      </c>
      <c r="I13" s="115" t="s">
        <v>439</v>
      </c>
    </row>
    <row r="14" spans="1:9" x14ac:dyDescent="0.25">
      <c r="A14" s="118"/>
      <c r="B14" s="109" t="s">
        <v>440</v>
      </c>
      <c r="C14" s="118"/>
      <c r="D14" s="117" t="s">
        <v>205</v>
      </c>
      <c r="E14" s="115" t="s">
        <v>441</v>
      </c>
    </row>
    <row r="15" spans="1:9" x14ac:dyDescent="0.25">
      <c r="A15" s="118"/>
      <c r="B15" s="109" t="s">
        <v>442</v>
      </c>
      <c r="C15" s="118"/>
      <c r="D15" s="117" t="s">
        <v>443</v>
      </c>
      <c r="E15" s="115" t="s">
        <v>444</v>
      </c>
    </row>
    <row r="16" spans="1:9" x14ac:dyDescent="0.25">
      <c r="A16" s="118"/>
      <c r="B16" s="109" t="s">
        <v>445</v>
      </c>
      <c r="C16" s="118"/>
      <c r="D16" s="117" t="s">
        <v>446</v>
      </c>
      <c r="E16" s="119"/>
    </row>
    <row r="17" spans="1:5" x14ac:dyDescent="0.25">
      <c r="A17" s="118"/>
      <c r="B17" s="109" t="s">
        <v>447</v>
      </c>
      <c r="C17" s="118"/>
      <c r="D17" s="117" t="s">
        <v>448</v>
      </c>
      <c r="E17" s="119"/>
    </row>
    <row r="18" spans="1:5" x14ac:dyDescent="0.25">
      <c r="A18" s="118"/>
      <c r="B18" s="109" t="s">
        <v>449</v>
      </c>
      <c r="C18" s="118"/>
      <c r="D18" s="117" t="s">
        <v>450</v>
      </c>
      <c r="E18" s="119"/>
    </row>
    <row r="19" spans="1:5" x14ac:dyDescent="0.25">
      <c r="A19" s="118"/>
      <c r="B19" s="109" t="s">
        <v>451</v>
      </c>
      <c r="C19" s="118"/>
      <c r="D19" s="117" t="s">
        <v>452</v>
      </c>
      <c r="E19" s="119"/>
    </row>
    <row r="20" spans="1:5" x14ac:dyDescent="0.25">
      <c r="A20" s="118"/>
      <c r="B20" s="109" t="s">
        <v>453</v>
      </c>
      <c r="C20" s="118"/>
      <c r="D20" s="117" t="s">
        <v>454</v>
      </c>
      <c r="E20" s="119"/>
    </row>
    <row r="21" spans="1:5" x14ac:dyDescent="0.25">
      <c r="B21" s="109" t="s">
        <v>455</v>
      </c>
      <c r="D21" s="117" t="s">
        <v>456</v>
      </c>
      <c r="E21" s="119"/>
    </row>
    <row r="22" spans="1:5" x14ac:dyDescent="0.25">
      <c r="B22" s="109" t="s">
        <v>457</v>
      </c>
      <c r="D22" s="117" t="s">
        <v>458</v>
      </c>
      <c r="E22" s="119"/>
    </row>
    <row r="23" spans="1:5" x14ac:dyDescent="0.25">
      <c r="B23" s="109" t="s">
        <v>459</v>
      </c>
      <c r="D23" s="117" t="s">
        <v>460</v>
      </c>
      <c r="E23" s="119"/>
    </row>
    <row r="24" spans="1:5" x14ac:dyDescent="0.25">
      <c r="D24" s="120" t="s">
        <v>461</v>
      </c>
      <c r="E24" s="120" t="s">
        <v>462</v>
      </c>
    </row>
    <row r="25" spans="1:5" x14ac:dyDescent="0.25">
      <c r="D25" s="121" t="s">
        <v>463</v>
      </c>
      <c r="E25" s="115" t="s">
        <v>464</v>
      </c>
    </row>
    <row r="26" spans="1:5" x14ac:dyDescent="0.25">
      <c r="D26" s="121" t="s">
        <v>465</v>
      </c>
      <c r="E26" s="115" t="s">
        <v>466</v>
      </c>
    </row>
    <row r="27" spans="1:5" x14ac:dyDescent="0.25">
      <c r="D27" s="936" t="s">
        <v>467</v>
      </c>
      <c r="E27" s="115" t="s">
        <v>468</v>
      </c>
    </row>
    <row r="28" spans="1:5" x14ac:dyDescent="0.25">
      <c r="D28" s="937"/>
      <c r="E28" s="115" t="s">
        <v>469</v>
      </c>
    </row>
    <row r="29" spans="1:5" x14ac:dyDescent="0.25">
      <c r="D29" s="937"/>
      <c r="E29" s="115" t="s">
        <v>470</v>
      </c>
    </row>
    <row r="30" spans="1:5" x14ac:dyDescent="0.25">
      <c r="D30" s="938"/>
      <c r="E30" s="115" t="s">
        <v>471</v>
      </c>
    </row>
    <row r="31" spans="1:5" x14ac:dyDescent="0.25">
      <c r="D31" s="121" t="s">
        <v>472</v>
      </c>
      <c r="E31" s="115" t="s">
        <v>473</v>
      </c>
    </row>
    <row r="32" spans="1:5" x14ac:dyDescent="0.25">
      <c r="D32" s="121" t="s">
        <v>474</v>
      </c>
      <c r="E32" s="115" t="s">
        <v>475</v>
      </c>
    </row>
    <row r="33" spans="4:5" x14ac:dyDescent="0.25">
      <c r="D33" s="121" t="s">
        <v>476</v>
      </c>
      <c r="E33" s="115" t="s">
        <v>477</v>
      </c>
    </row>
    <row r="34" spans="4:5" x14ac:dyDescent="0.25">
      <c r="D34" s="121" t="s">
        <v>478</v>
      </c>
      <c r="E34" s="115" t="s">
        <v>479</v>
      </c>
    </row>
    <row r="35" spans="4:5" x14ac:dyDescent="0.25">
      <c r="D35" s="121" t="s">
        <v>480</v>
      </c>
      <c r="E35" s="115" t="s">
        <v>481</v>
      </c>
    </row>
    <row r="36" spans="4:5" x14ac:dyDescent="0.25">
      <c r="D36" s="121" t="s">
        <v>482</v>
      </c>
      <c r="E36" s="115" t="s">
        <v>483</v>
      </c>
    </row>
    <row r="37" spans="4:5" x14ac:dyDescent="0.25">
      <c r="D37" s="121" t="s">
        <v>484</v>
      </c>
      <c r="E37" s="115" t="s">
        <v>485</v>
      </c>
    </row>
    <row r="38" spans="4:5" x14ac:dyDescent="0.25">
      <c r="D38" s="121" t="s">
        <v>486</v>
      </c>
      <c r="E38" s="115" t="s">
        <v>487</v>
      </c>
    </row>
    <row r="39" spans="4:5" x14ac:dyDescent="0.25">
      <c r="D39" s="122" t="s">
        <v>488</v>
      </c>
      <c r="E39" s="115" t="s">
        <v>489</v>
      </c>
    </row>
    <row r="40" spans="4:5" x14ac:dyDescent="0.25">
      <c r="D40" s="122" t="s">
        <v>490</v>
      </c>
      <c r="E40" s="115" t="s">
        <v>491</v>
      </c>
    </row>
    <row r="41" spans="4:5" x14ac:dyDescent="0.25">
      <c r="D41" s="121" t="s">
        <v>492</v>
      </c>
      <c r="E41" s="115" t="s">
        <v>493</v>
      </c>
    </row>
    <row r="42" spans="4:5" x14ac:dyDescent="0.25">
      <c r="D42" s="121" t="s">
        <v>494</v>
      </c>
      <c r="E42" s="115" t="s">
        <v>495</v>
      </c>
    </row>
    <row r="43" spans="4:5" x14ac:dyDescent="0.25">
      <c r="D43" s="122" t="s">
        <v>496</v>
      </c>
      <c r="E43" s="115" t="s">
        <v>497</v>
      </c>
    </row>
    <row r="44" spans="4:5" x14ac:dyDescent="0.25">
      <c r="D44" s="123" t="s">
        <v>498</v>
      </c>
      <c r="E44" s="115" t="s">
        <v>499</v>
      </c>
    </row>
    <row r="45" spans="4:5" x14ac:dyDescent="0.25">
      <c r="D45" s="117" t="s">
        <v>500</v>
      </c>
      <c r="E45" s="115" t="s">
        <v>501</v>
      </c>
    </row>
    <row r="46" spans="4:5" x14ac:dyDescent="0.25">
      <c r="D46" s="117" t="s">
        <v>502</v>
      </c>
      <c r="E46" s="115" t="s">
        <v>503</v>
      </c>
    </row>
    <row r="47" spans="4:5" x14ac:dyDescent="0.25">
      <c r="D47" s="117" t="s">
        <v>504</v>
      </c>
      <c r="E47" s="115" t="s">
        <v>505</v>
      </c>
    </row>
    <row r="48" spans="4:5" x14ac:dyDescent="0.25">
      <c r="D48" s="117" t="s">
        <v>506</v>
      </c>
      <c r="E48" s="115" t="s">
        <v>507</v>
      </c>
    </row>
    <row r="49" spans="4:4" x14ac:dyDescent="0.25">
      <c r="D49" s="120" t="s">
        <v>508</v>
      </c>
    </row>
    <row r="50" spans="4:4" x14ac:dyDescent="0.25">
      <c r="D50" s="117" t="s">
        <v>509</v>
      </c>
    </row>
    <row r="51" spans="4:4" x14ac:dyDescent="0.25">
      <c r="D51" s="117" t="s">
        <v>510</v>
      </c>
    </row>
    <row r="52" spans="4:4" x14ac:dyDescent="0.25">
      <c r="D52" s="120" t="s">
        <v>511</v>
      </c>
    </row>
    <row r="53" spans="4:4" x14ac:dyDescent="0.25">
      <c r="D53" s="123" t="s">
        <v>512</v>
      </c>
    </row>
    <row r="54" spans="4:4" x14ac:dyDescent="0.25">
      <c r="D54" s="123" t="s">
        <v>513</v>
      </c>
    </row>
    <row r="55" spans="4:4" x14ac:dyDescent="0.25">
      <c r="D55" s="123" t="s">
        <v>514</v>
      </c>
    </row>
    <row r="56" spans="4:4" x14ac:dyDescent="0.25">
      <c r="D56" s="123" t="s">
        <v>515</v>
      </c>
    </row>
  </sheetData>
  <mergeCells count="1">
    <mergeCell ref="D27:D3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J9"/>
  <sheetViews>
    <sheetView zoomScale="60" zoomScaleNormal="60" workbookViewId="0">
      <selection activeCell="I49" sqref="I49"/>
    </sheetView>
  </sheetViews>
  <sheetFormatPr baseColWidth="10" defaultColWidth="11.42578125" defaultRowHeight="15" x14ac:dyDescent="0.25"/>
  <cols>
    <col min="1" max="3" width="16.42578125" bestFit="1" customWidth="1"/>
    <col min="6" max="6" width="18.42578125" bestFit="1" customWidth="1"/>
    <col min="7" max="7" width="11.42578125" style="179"/>
    <col min="9" max="9" width="18.42578125" bestFit="1" customWidth="1"/>
  </cols>
  <sheetData>
    <row r="1" spans="1:10" x14ac:dyDescent="0.25">
      <c r="A1" s="176">
        <f>+'Meta 1 DED. SCPI'!O24</f>
        <v>44095680.229999997</v>
      </c>
      <c r="B1" s="176">
        <v>44977430.220000029</v>
      </c>
      <c r="C1" s="176">
        <f>+A1-B1</f>
        <v>-881749.99000003189</v>
      </c>
      <c r="F1" s="176">
        <v>897225656</v>
      </c>
      <c r="G1" s="179">
        <f>+F1/$F$8</f>
        <v>0.17898656761377352</v>
      </c>
      <c r="I1" s="176">
        <v>897225656</v>
      </c>
      <c r="J1" s="175">
        <f>+F1-I1</f>
        <v>0</v>
      </c>
    </row>
    <row r="2" spans="1:10" x14ac:dyDescent="0.25">
      <c r="A2" s="176">
        <f>+'Meta 2 DED'!O24</f>
        <v>72533429</v>
      </c>
      <c r="B2" s="176">
        <v>76850600</v>
      </c>
      <c r="C2" s="176">
        <f t="shared" ref="C2:C8" si="0">+A2-B2</f>
        <v>-4317171</v>
      </c>
      <c r="F2" s="176">
        <v>990296613</v>
      </c>
      <c r="G2" s="179">
        <f t="shared" ref="G2:G8" si="1">+F2/$F$8</f>
        <v>0.19755319132382834</v>
      </c>
      <c r="I2" s="176">
        <v>990296613</v>
      </c>
      <c r="J2" s="175">
        <f t="shared" ref="J2:J8" si="2">+F2-I2</f>
        <v>0</v>
      </c>
    </row>
    <row r="3" spans="1:10" x14ac:dyDescent="0.25">
      <c r="A3" s="176">
        <f>+'Meta 3 DED'!O24</f>
        <v>78269171</v>
      </c>
      <c r="B3" s="176">
        <v>91581394.400000095</v>
      </c>
      <c r="C3" s="176">
        <f t="shared" si="0"/>
        <v>-13312223.400000095</v>
      </c>
      <c r="F3" s="176">
        <v>1600896358</v>
      </c>
      <c r="G3" s="179">
        <f t="shared" si="1"/>
        <v>0.31936106854239438</v>
      </c>
      <c r="I3" s="176">
        <v>1600896358</v>
      </c>
      <c r="J3" s="175">
        <f t="shared" si="2"/>
        <v>0</v>
      </c>
    </row>
    <row r="4" spans="1:10" x14ac:dyDescent="0.25">
      <c r="A4" s="176">
        <f>+'Meta 4 DED'!O24</f>
        <v>71501807.049999997</v>
      </c>
      <c r="B4" s="176">
        <v>72127640</v>
      </c>
      <c r="C4" s="176">
        <f t="shared" si="0"/>
        <v>-625832.95000000298</v>
      </c>
      <c r="F4" s="176">
        <v>447829697</v>
      </c>
      <c r="G4" s="179">
        <f t="shared" si="1"/>
        <v>8.9337057857768395E-2</v>
      </c>
      <c r="I4" s="176">
        <v>447829697</v>
      </c>
      <c r="J4" s="175">
        <f t="shared" si="2"/>
        <v>0</v>
      </c>
    </row>
    <row r="5" spans="1:10" x14ac:dyDescent="0.25">
      <c r="A5" s="176">
        <f>+'Meta 5 SCPI'!O24</f>
        <v>63830437</v>
      </c>
      <c r="B5" s="176">
        <v>64204436.49000001</v>
      </c>
      <c r="C5" s="176">
        <f t="shared" si="0"/>
        <v>-373999.49000000954</v>
      </c>
      <c r="F5" s="176">
        <v>299780042</v>
      </c>
      <c r="G5" s="179">
        <f t="shared" si="1"/>
        <v>5.9802793642687438E-2</v>
      </c>
      <c r="I5" s="176">
        <v>299780042</v>
      </c>
      <c r="J5" s="175">
        <f t="shared" si="2"/>
        <v>0</v>
      </c>
    </row>
    <row r="6" spans="1:10" x14ac:dyDescent="0.25">
      <c r="A6" s="176">
        <f>+'Meta 6 SCPI'!O24</f>
        <v>0</v>
      </c>
      <c r="B6" s="176">
        <v>373999.88999998569</v>
      </c>
      <c r="C6" s="176">
        <f t="shared" si="0"/>
        <v>-373999.88999998569</v>
      </c>
      <c r="F6" s="176">
        <v>248289520</v>
      </c>
      <c r="G6" s="179">
        <f t="shared" si="1"/>
        <v>4.9531005563745685E-2</v>
      </c>
      <c r="I6" s="176">
        <v>248289520</v>
      </c>
      <c r="J6" s="175">
        <f t="shared" si="2"/>
        <v>0</v>
      </c>
    </row>
    <row r="7" spans="1:10" x14ac:dyDescent="0.25">
      <c r="A7" s="176" t="e">
        <f>+#REF!</f>
        <v>#REF!</v>
      </c>
      <c r="B7" s="176">
        <v>40036153</v>
      </c>
      <c r="C7" s="176" t="e">
        <f t="shared" si="0"/>
        <v>#REF!</v>
      </c>
      <c r="F7" s="176">
        <v>528492114</v>
      </c>
      <c r="G7" s="179">
        <f t="shared" si="1"/>
        <v>0.10542831545580224</v>
      </c>
      <c r="I7" s="176">
        <v>528492114</v>
      </c>
      <c r="J7" s="175">
        <f t="shared" si="2"/>
        <v>0</v>
      </c>
    </row>
    <row r="8" spans="1:10" x14ac:dyDescent="0.25">
      <c r="A8" s="177" t="e">
        <f>SUM(A1:A7)</f>
        <v>#REF!</v>
      </c>
      <c r="B8" s="177">
        <v>390151654</v>
      </c>
      <c r="C8" s="177" t="e">
        <f t="shared" si="0"/>
        <v>#REF!</v>
      </c>
      <c r="F8" s="178">
        <f>SUM(F1:F7)</f>
        <v>5012810000</v>
      </c>
      <c r="G8" s="179">
        <f t="shared" si="1"/>
        <v>1</v>
      </c>
      <c r="I8" s="176">
        <v>5012810000</v>
      </c>
      <c r="J8" s="175">
        <f t="shared" si="2"/>
        <v>0</v>
      </c>
    </row>
    <row r="9" spans="1:10" x14ac:dyDescent="0.25">
      <c r="I9" s="17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
  <sheetViews>
    <sheetView workbookViewId="0"/>
  </sheetViews>
  <sheetFormatPr baseColWidth="10" defaultColWidth="8.85546875" defaultRowHeight="15" x14ac:dyDescent="0.25"/>
  <cols>
    <col min="1" max="256" width="11.42578125" customWidth="1"/>
  </cols>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N46"/>
  <sheetViews>
    <sheetView zoomScale="90" zoomScaleNormal="90" workbookViewId="0">
      <selection activeCell="P9" sqref="P9"/>
    </sheetView>
  </sheetViews>
  <sheetFormatPr baseColWidth="10" defaultColWidth="8.85546875" defaultRowHeight="15" x14ac:dyDescent="0.25"/>
  <cols>
    <col min="1" max="2" width="11.42578125" customWidth="1"/>
    <col min="3" max="3" width="6.85546875" customWidth="1"/>
    <col min="4" max="4" width="8.85546875" customWidth="1"/>
    <col min="5" max="5" width="10.85546875" customWidth="1"/>
    <col min="6" max="256" width="11.42578125" customWidth="1"/>
  </cols>
  <sheetData>
    <row r="1" spans="1:14" x14ac:dyDescent="0.25">
      <c r="B1" t="s">
        <v>516</v>
      </c>
      <c r="C1" s="942" t="s">
        <v>517</v>
      </c>
      <c r="D1" s="942"/>
      <c r="E1" s="942"/>
      <c r="F1" s="942"/>
      <c r="G1" s="943" t="s">
        <v>518</v>
      </c>
      <c r="H1" s="944"/>
      <c r="I1" s="944"/>
      <c r="J1" s="945"/>
      <c r="K1" s="941" t="s">
        <v>519</v>
      </c>
      <c r="L1" s="941"/>
      <c r="M1" s="941"/>
      <c r="N1" s="941"/>
    </row>
    <row r="2" spans="1:14" x14ac:dyDescent="0.25">
      <c r="C2" s="4"/>
      <c r="D2" s="4"/>
      <c r="E2" s="4"/>
      <c r="F2" s="4" t="s">
        <v>520</v>
      </c>
      <c r="G2" s="30"/>
      <c r="H2" s="4"/>
      <c r="I2" s="4"/>
      <c r="J2" s="31" t="s">
        <v>520</v>
      </c>
      <c r="K2" s="4"/>
      <c r="L2" s="4"/>
      <c r="M2" s="4"/>
      <c r="N2" s="4" t="s">
        <v>520</v>
      </c>
    </row>
    <row r="3" spans="1:14" x14ac:dyDescent="0.25">
      <c r="A3" s="940" t="s">
        <v>521</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940"/>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940"/>
      <c r="B5" s="5">
        <v>3</v>
      </c>
      <c r="C5" s="6">
        <v>0.05</v>
      </c>
      <c r="D5" s="6">
        <v>0.05</v>
      </c>
      <c r="E5" s="6">
        <v>0.1</v>
      </c>
      <c r="F5" s="7">
        <f>(C5+D5+E5)</f>
        <v>0.2</v>
      </c>
      <c r="G5" s="32">
        <v>0.1</v>
      </c>
      <c r="H5" s="6">
        <v>0.1</v>
      </c>
      <c r="I5" s="6">
        <v>0.1</v>
      </c>
      <c r="J5" s="33">
        <f>(G5+H5+I5)</f>
        <v>0.30000000000000004</v>
      </c>
      <c r="K5" s="24"/>
      <c r="L5" s="5"/>
      <c r="M5" s="5"/>
      <c r="N5" s="5"/>
    </row>
    <row r="6" spans="1:14" x14ac:dyDescent="0.25">
      <c r="A6" s="940"/>
      <c r="B6" s="5">
        <v>4</v>
      </c>
      <c r="C6" s="6">
        <v>0.1</v>
      </c>
      <c r="D6" s="6">
        <v>0.1</v>
      </c>
      <c r="E6" s="6">
        <v>0.2</v>
      </c>
      <c r="F6" s="7">
        <f>(C6+D6+E6)</f>
        <v>0.4</v>
      </c>
      <c r="G6" s="32">
        <v>0</v>
      </c>
      <c r="H6" s="6">
        <v>0</v>
      </c>
      <c r="I6" s="6">
        <v>0.1</v>
      </c>
      <c r="J6" s="33">
        <f>(G6+H6+I6)</f>
        <v>0.1</v>
      </c>
      <c r="K6" s="24"/>
      <c r="L6" s="5"/>
      <c r="M6" s="5"/>
      <c r="N6" s="5"/>
    </row>
    <row r="7" spans="1:14" x14ac:dyDescent="0.25">
      <c r="A7" s="940"/>
      <c r="B7" s="5">
        <v>5</v>
      </c>
      <c r="C7" s="6">
        <v>0</v>
      </c>
      <c r="D7" s="6">
        <v>0</v>
      </c>
      <c r="E7" s="6">
        <v>0</v>
      </c>
      <c r="F7" s="7">
        <f>(C7+D7+E7)</f>
        <v>0</v>
      </c>
      <c r="G7" s="32">
        <v>0</v>
      </c>
      <c r="H7" s="6">
        <v>0</v>
      </c>
      <c r="I7" s="6">
        <v>0</v>
      </c>
      <c r="J7" s="33">
        <f>(G7+H7+I7)</f>
        <v>0</v>
      </c>
      <c r="K7" s="24"/>
      <c r="L7" s="5"/>
      <c r="M7" s="5"/>
      <c r="N7" s="5"/>
    </row>
    <row r="8" spans="1:14" x14ac:dyDescent="0.25">
      <c r="A8" s="940" t="s">
        <v>522</v>
      </c>
      <c r="B8" s="9">
        <v>6</v>
      </c>
      <c r="C8" s="10">
        <v>0.1</v>
      </c>
      <c r="D8" s="10">
        <v>0.1</v>
      </c>
      <c r="E8" s="10">
        <v>0.1</v>
      </c>
      <c r="F8" s="11">
        <f>C8+D8+E8</f>
        <v>0.30000000000000004</v>
      </c>
      <c r="G8" s="34"/>
      <c r="H8" s="9"/>
      <c r="I8" s="9"/>
      <c r="J8" s="35"/>
      <c r="K8" s="25"/>
      <c r="L8" s="9"/>
      <c r="M8" s="9"/>
      <c r="N8" s="9"/>
    </row>
    <row r="9" spans="1:14" x14ac:dyDescent="0.25">
      <c r="A9" s="940"/>
      <c r="B9" s="9">
        <v>7</v>
      </c>
      <c r="C9" s="9"/>
      <c r="D9" s="9"/>
      <c r="E9" s="9"/>
      <c r="F9" s="19"/>
      <c r="G9" s="36"/>
      <c r="H9" s="9"/>
      <c r="I9" s="9"/>
      <c r="J9" s="35"/>
      <c r="K9" s="25"/>
      <c r="L9" s="9"/>
      <c r="M9" s="9"/>
      <c r="N9" s="9"/>
    </row>
    <row r="10" spans="1:14" x14ac:dyDescent="0.25">
      <c r="A10" s="940"/>
      <c r="B10" s="9">
        <v>8</v>
      </c>
      <c r="C10" s="9"/>
      <c r="D10" s="9"/>
      <c r="E10" s="9"/>
      <c r="F10" s="19"/>
      <c r="G10" s="36"/>
      <c r="H10" s="9"/>
      <c r="I10" s="9"/>
      <c r="J10" s="35"/>
      <c r="K10" s="25"/>
      <c r="L10" s="9"/>
      <c r="M10" s="9"/>
      <c r="N10" s="9"/>
    </row>
    <row r="11" spans="1:14" x14ac:dyDescent="0.25">
      <c r="A11" s="940"/>
      <c r="B11" s="9">
        <v>9</v>
      </c>
      <c r="C11" s="9"/>
      <c r="D11" s="9"/>
      <c r="E11" s="9"/>
      <c r="F11" s="19"/>
      <c r="G11" s="36"/>
      <c r="H11" s="9"/>
      <c r="I11" s="9"/>
      <c r="J11" s="35"/>
      <c r="K11" s="25"/>
      <c r="L11" s="9"/>
      <c r="M11" s="9"/>
      <c r="N11" s="9"/>
    </row>
    <row r="12" spans="1:14" x14ac:dyDescent="0.25">
      <c r="A12" s="940" t="s">
        <v>523</v>
      </c>
      <c r="B12" s="14">
        <v>10</v>
      </c>
      <c r="C12" s="14"/>
      <c r="D12" s="14"/>
      <c r="E12" s="14"/>
      <c r="F12" s="20"/>
      <c r="G12" s="37"/>
      <c r="H12" s="14"/>
      <c r="I12" s="14"/>
      <c r="J12" s="38"/>
      <c r="K12" s="26"/>
      <c r="L12" s="14"/>
      <c r="M12" s="14"/>
      <c r="N12" s="14"/>
    </row>
    <row r="13" spans="1:14" x14ac:dyDescent="0.25">
      <c r="A13" s="940"/>
      <c r="B13" s="14">
        <v>11</v>
      </c>
      <c r="C13" s="14"/>
      <c r="D13" s="14"/>
      <c r="E13" s="14"/>
      <c r="F13" s="20"/>
      <c r="G13" s="37"/>
      <c r="H13" s="14"/>
      <c r="I13" s="14"/>
      <c r="J13" s="38"/>
      <c r="K13" s="26"/>
      <c r="L13" s="14"/>
      <c r="M13" s="14"/>
      <c r="N13" s="14"/>
    </row>
    <row r="14" spans="1:14" x14ac:dyDescent="0.25">
      <c r="A14" s="940"/>
      <c r="B14" s="14">
        <v>12</v>
      </c>
      <c r="C14" s="14"/>
      <c r="D14" s="14"/>
      <c r="E14" s="14"/>
      <c r="F14" s="20"/>
      <c r="G14" s="37"/>
      <c r="H14" s="14"/>
      <c r="I14" s="14"/>
      <c r="J14" s="38"/>
      <c r="K14" s="26"/>
      <c r="L14" s="14"/>
      <c r="M14" s="14"/>
      <c r="N14" s="14"/>
    </row>
    <row r="15" spans="1:14" x14ac:dyDescent="0.25">
      <c r="A15" s="940"/>
      <c r="B15" s="14">
        <v>13</v>
      </c>
      <c r="C15" s="14"/>
      <c r="D15" s="14"/>
      <c r="E15" s="14"/>
      <c r="F15" s="20"/>
      <c r="G15" s="37"/>
      <c r="H15" s="14"/>
      <c r="I15" s="14"/>
      <c r="J15" s="38"/>
      <c r="K15" s="26"/>
      <c r="L15" s="14"/>
      <c r="M15" s="14"/>
      <c r="N15" s="14"/>
    </row>
    <row r="16" spans="1:14" x14ac:dyDescent="0.25">
      <c r="A16" s="940" t="s">
        <v>524</v>
      </c>
      <c r="B16" s="15">
        <v>14</v>
      </c>
      <c r="C16" s="15"/>
      <c r="D16" s="15"/>
      <c r="E16" s="15"/>
      <c r="F16" s="21"/>
      <c r="G16" s="39"/>
      <c r="H16" s="15"/>
      <c r="I16" s="15"/>
      <c r="J16" s="40"/>
      <c r="K16" s="27"/>
      <c r="L16" s="15"/>
      <c r="M16" s="15"/>
      <c r="N16" s="15"/>
    </row>
    <row r="17" spans="1:14" x14ac:dyDescent="0.25">
      <c r="A17" s="940"/>
      <c r="B17" s="15">
        <v>15</v>
      </c>
      <c r="C17" s="15"/>
      <c r="D17" s="15"/>
      <c r="E17" s="15"/>
      <c r="F17" s="21"/>
      <c r="G17" s="39"/>
      <c r="H17" s="15"/>
      <c r="I17" s="15"/>
      <c r="J17" s="40"/>
      <c r="K17" s="27"/>
      <c r="L17" s="15"/>
      <c r="M17" s="15"/>
      <c r="N17" s="15"/>
    </row>
    <row r="18" spans="1:14" x14ac:dyDescent="0.25">
      <c r="A18" s="940"/>
      <c r="B18" s="15">
        <v>16</v>
      </c>
      <c r="C18" s="15"/>
      <c r="D18" s="15"/>
      <c r="E18" s="15"/>
      <c r="F18" s="21"/>
      <c r="G18" s="39"/>
      <c r="H18" s="15"/>
      <c r="I18" s="15"/>
      <c r="J18" s="40"/>
      <c r="K18" s="27"/>
      <c r="L18" s="15"/>
      <c r="M18" s="15"/>
      <c r="N18" s="15"/>
    </row>
    <row r="19" spans="1:14" x14ac:dyDescent="0.25">
      <c r="A19" s="940" t="s">
        <v>525</v>
      </c>
      <c r="B19" s="18">
        <v>17</v>
      </c>
      <c r="C19" s="18"/>
      <c r="D19" s="18"/>
      <c r="E19" s="18"/>
      <c r="F19" s="22"/>
      <c r="G19" s="41"/>
      <c r="H19" s="18"/>
      <c r="I19" s="18"/>
      <c r="J19" s="42"/>
      <c r="K19" s="28"/>
      <c r="L19" s="18"/>
      <c r="M19" s="18"/>
      <c r="N19" s="18"/>
    </row>
    <row r="20" spans="1:14" x14ac:dyDescent="0.25">
      <c r="A20" s="940"/>
      <c r="B20" s="18">
        <v>18</v>
      </c>
      <c r="C20" s="18"/>
      <c r="D20" s="18"/>
      <c r="E20" s="18"/>
      <c r="F20" s="22"/>
      <c r="G20" s="41"/>
      <c r="H20" s="18"/>
      <c r="I20" s="18"/>
      <c r="J20" s="42"/>
      <c r="K20" s="28"/>
      <c r="L20" s="18"/>
      <c r="M20" s="18"/>
      <c r="N20" s="18"/>
    </row>
    <row r="21" spans="1:14" x14ac:dyDescent="0.25">
      <c r="A21" s="940"/>
      <c r="B21" s="18">
        <v>19</v>
      </c>
      <c r="C21" s="18"/>
      <c r="D21" s="18"/>
      <c r="E21" s="18"/>
      <c r="F21" s="22"/>
      <c r="G21" s="41"/>
      <c r="H21" s="18"/>
      <c r="I21" s="18"/>
      <c r="J21" s="42"/>
      <c r="K21" s="28"/>
      <c r="L21" s="18"/>
      <c r="M21" s="18"/>
      <c r="N21" s="18"/>
    </row>
    <row r="22" spans="1:14" x14ac:dyDescent="0.25">
      <c r="A22" s="940"/>
      <c r="B22" s="18">
        <v>20</v>
      </c>
      <c r="C22" s="18"/>
      <c r="D22" s="18"/>
      <c r="E22" s="18"/>
      <c r="F22" s="22"/>
      <c r="G22" s="41"/>
      <c r="H22" s="18"/>
      <c r="I22" s="18"/>
      <c r="J22" s="42"/>
      <c r="K22" s="28"/>
      <c r="L22" s="18"/>
      <c r="M22" s="18"/>
      <c r="N22" s="18"/>
    </row>
    <row r="23" spans="1:14" x14ac:dyDescent="0.25">
      <c r="A23" s="940" t="s">
        <v>526</v>
      </c>
      <c r="B23" s="13">
        <v>21</v>
      </c>
      <c r="C23" s="13"/>
      <c r="D23" s="13"/>
      <c r="E23" s="13"/>
      <c r="F23" s="23"/>
      <c r="G23" s="43"/>
      <c r="H23" s="13"/>
      <c r="I23" s="13"/>
      <c r="J23" s="44"/>
      <c r="K23" s="29"/>
      <c r="L23" s="13"/>
      <c r="M23" s="13"/>
      <c r="N23" s="13"/>
    </row>
    <row r="24" spans="1:14" x14ac:dyDescent="0.25">
      <c r="A24" s="940"/>
      <c r="B24" s="13">
        <v>22</v>
      </c>
      <c r="C24" s="13"/>
      <c r="D24" s="13"/>
      <c r="E24" s="13"/>
      <c r="F24" s="23"/>
      <c r="G24" s="43"/>
      <c r="H24" s="13"/>
      <c r="I24" s="13"/>
      <c r="J24" s="44"/>
      <c r="K24" s="29"/>
      <c r="L24" s="13"/>
      <c r="M24" s="13"/>
      <c r="N24" s="13"/>
    </row>
    <row r="25" spans="1:14" x14ac:dyDescent="0.25">
      <c r="A25" s="940"/>
      <c r="B25" s="13">
        <v>23</v>
      </c>
      <c r="C25" s="13"/>
      <c r="D25" s="13"/>
      <c r="E25" s="13"/>
      <c r="F25" s="23"/>
      <c r="G25" s="43"/>
      <c r="H25" s="13"/>
      <c r="I25" s="13"/>
      <c r="J25" s="44"/>
      <c r="K25" s="29"/>
      <c r="L25" s="13"/>
      <c r="M25" s="13"/>
      <c r="N25" s="13"/>
    </row>
    <row r="26" spans="1:14" x14ac:dyDescent="0.25">
      <c r="A26" s="940"/>
      <c r="B26" s="13">
        <v>24</v>
      </c>
      <c r="C26" s="13"/>
      <c r="D26" s="13"/>
      <c r="E26" s="13"/>
      <c r="F26" s="23"/>
      <c r="G26" s="43"/>
      <c r="H26" s="13"/>
      <c r="I26" s="13"/>
      <c r="J26" s="44"/>
      <c r="K26" s="29"/>
      <c r="L26" s="13"/>
      <c r="M26" s="13"/>
      <c r="N26" s="13"/>
    </row>
    <row r="27" spans="1:14" x14ac:dyDescent="0.25">
      <c r="A27" s="940" t="s">
        <v>527</v>
      </c>
      <c r="B27" s="9">
        <v>25</v>
      </c>
      <c r="C27" s="9"/>
      <c r="D27" s="9"/>
      <c r="E27" s="9"/>
      <c r="F27" s="9"/>
      <c r="G27" s="9"/>
      <c r="H27" s="9"/>
      <c r="I27" s="9"/>
      <c r="J27" s="9"/>
      <c r="K27" s="9"/>
      <c r="L27" s="9"/>
      <c r="M27" s="9"/>
      <c r="N27" s="9"/>
    </row>
    <row r="28" spans="1:14" x14ac:dyDescent="0.25">
      <c r="A28" s="940"/>
      <c r="B28" s="9">
        <v>26</v>
      </c>
      <c r="C28" s="9"/>
      <c r="D28" s="9"/>
      <c r="E28" s="9"/>
      <c r="F28" s="9"/>
      <c r="G28" s="9"/>
      <c r="H28" s="9"/>
      <c r="I28" s="9"/>
      <c r="J28" s="9"/>
      <c r="K28" s="9"/>
      <c r="L28" s="9"/>
      <c r="M28" s="9"/>
      <c r="N28" s="9"/>
    </row>
    <row r="29" spans="1:14" x14ac:dyDescent="0.25">
      <c r="A29" s="940"/>
      <c r="B29" s="9">
        <v>27</v>
      </c>
      <c r="C29" s="9"/>
      <c r="D29" s="9"/>
      <c r="E29" s="9"/>
      <c r="F29" s="9"/>
      <c r="G29" s="9"/>
      <c r="H29" s="9"/>
      <c r="I29" s="9"/>
      <c r="J29" s="9"/>
      <c r="K29" s="9"/>
      <c r="L29" s="9"/>
      <c r="M29" s="9"/>
      <c r="N29" s="9"/>
    </row>
    <row r="30" spans="1:14" x14ac:dyDescent="0.25">
      <c r="A30" s="940"/>
      <c r="B30" s="9">
        <v>28</v>
      </c>
      <c r="C30" s="9"/>
      <c r="D30" s="9"/>
      <c r="E30" s="9"/>
      <c r="F30" s="9"/>
      <c r="G30" s="9"/>
      <c r="H30" s="9"/>
      <c r="I30" s="9"/>
      <c r="J30" s="9"/>
      <c r="K30" s="9"/>
      <c r="L30" s="9"/>
      <c r="M30" s="9"/>
      <c r="N30" s="9"/>
    </row>
    <row r="31" spans="1:14" x14ac:dyDescent="0.25">
      <c r="A31" s="940"/>
      <c r="B31" s="9">
        <v>29</v>
      </c>
      <c r="C31" s="9"/>
      <c r="D31" s="9"/>
      <c r="E31" s="9"/>
      <c r="F31" s="9"/>
      <c r="G31" s="9"/>
      <c r="H31" s="9"/>
      <c r="I31" s="9"/>
      <c r="J31" s="9"/>
      <c r="K31" s="9"/>
      <c r="L31" s="9"/>
      <c r="M31" s="9"/>
      <c r="N31" s="9"/>
    </row>
    <row r="32" spans="1:14" x14ac:dyDescent="0.25">
      <c r="A32" s="940" t="s">
        <v>528</v>
      </c>
      <c r="B32" s="16">
        <v>30</v>
      </c>
      <c r="C32" s="16"/>
      <c r="D32" s="16"/>
      <c r="E32" s="16"/>
      <c r="F32" s="16"/>
      <c r="G32" s="16"/>
      <c r="H32" s="16"/>
      <c r="I32" s="16"/>
      <c r="J32" s="16"/>
      <c r="K32" s="16"/>
      <c r="L32" s="16"/>
      <c r="M32" s="16"/>
      <c r="N32" s="16"/>
    </row>
    <row r="33" spans="1:14" x14ac:dyDescent="0.25">
      <c r="A33" s="940"/>
      <c r="B33" s="16">
        <v>31</v>
      </c>
      <c r="C33" s="16"/>
      <c r="D33" s="16"/>
      <c r="E33" s="16"/>
      <c r="F33" s="16"/>
      <c r="G33" s="16"/>
      <c r="H33" s="16"/>
      <c r="I33" s="16"/>
      <c r="J33" s="16"/>
      <c r="K33" s="16"/>
      <c r="L33" s="16"/>
      <c r="M33" s="16"/>
      <c r="N33" s="16"/>
    </row>
    <row r="34" spans="1:14" x14ac:dyDescent="0.25">
      <c r="A34" s="940"/>
      <c r="B34" s="16">
        <v>32</v>
      </c>
      <c r="C34" s="16"/>
      <c r="D34" s="16"/>
      <c r="E34" s="16"/>
      <c r="F34" s="16"/>
      <c r="G34" s="16"/>
      <c r="H34" s="16"/>
      <c r="I34" s="16"/>
      <c r="J34" s="16"/>
      <c r="K34" s="16"/>
      <c r="L34" s="16"/>
      <c r="M34" s="16"/>
      <c r="N34" s="16"/>
    </row>
    <row r="35" spans="1:14" x14ac:dyDescent="0.25">
      <c r="A35" s="940" t="s">
        <v>529</v>
      </c>
      <c r="B35" s="17">
        <v>33</v>
      </c>
      <c r="C35" s="14"/>
      <c r="D35" s="14"/>
      <c r="E35" s="14"/>
      <c r="F35" s="14"/>
      <c r="G35" s="14"/>
      <c r="H35" s="14"/>
      <c r="I35" s="14"/>
      <c r="J35" s="14"/>
      <c r="K35" s="14"/>
      <c r="L35" s="14"/>
      <c r="M35" s="14"/>
      <c r="N35" s="14"/>
    </row>
    <row r="36" spans="1:14" x14ac:dyDescent="0.25">
      <c r="A36" s="940"/>
      <c r="B36" s="14">
        <v>34</v>
      </c>
      <c r="C36" s="14"/>
      <c r="D36" s="14"/>
      <c r="E36" s="14"/>
      <c r="F36" s="14"/>
      <c r="G36" s="14"/>
      <c r="H36" s="14"/>
      <c r="I36" s="14"/>
      <c r="J36" s="14"/>
      <c r="K36" s="14"/>
      <c r="L36" s="14"/>
      <c r="M36" s="14"/>
      <c r="N36" s="14"/>
    </row>
    <row r="37" spans="1:14" x14ac:dyDescent="0.25">
      <c r="A37" s="940"/>
      <c r="B37" s="45">
        <v>35</v>
      </c>
      <c r="C37" s="14"/>
      <c r="D37" s="14"/>
      <c r="E37" s="14"/>
      <c r="F37" s="14"/>
      <c r="G37" s="14"/>
      <c r="H37" s="14"/>
      <c r="I37" s="14"/>
      <c r="J37" s="14"/>
      <c r="K37" s="14"/>
      <c r="L37" s="14"/>
      <c r="M37" s="14"/>
      <c r="N37" s="14"/>
    </row>
    <row r="38" spans="1:14" x14ac:dyDescent="0.25">
      <c r="A38" s="940" t="s">
        <v>530</v>
      </c>
      <c r="B38" s="8">
        <v>36</v>
      </c>
      <c r="C38" s="8"/>
      <c r="D38" s="8"/>
      <c r="E38" s="8"/>
      <c r="F38" s="8"/>
      <c r="G38" s="8"/>
      <c r="H38" s="8"/>
      <c r="I38" s="8"/>
      <c r="J38" s="8"/>
      <c r="K38" s="8"/>
      <c r="L38" s="8"/>
      <c r="M38" s="8"/>
      <c r="N38" s="8"/>
    </row>
    <row r="39" spans="1:14" x14ac:dyDescent="0.25">
      <c r="A39" s="940"/>
      <c r="B39" s="8">
        <v>37</v>
      </c>
      <c r="C39" s="8"/>
      <c r="D39" s="8"/>
      <c r="E39" s="8"/>
      <c r="F39" s="8"/>
      <c r="G39" s="8"/>
      <c r="H39" s="8"/>
      <c r="I39" s="8"/>
      <c r="J39" s="8"/>
      <c r="K39" s="8"/>
      <c r="L39" s="8"/>
      <c r="M39" s="8"/>
      <c r="N39" s="8"/>
    </row>
    <row r="40" spans="1:14" x14ac:dyDescent="0.25">
      <c r="A40" s="940"/>
      <c r="B40" s="8">
        <v>38</v>
      </c>
      <c r="C40" s="8"/>
      <c r="D40" s="8"/>
      <c r="E40" s="8"/>
      <c r="F40" s="8"/>
      <c r="G40" s="8"/>
      <c r="H40" s="8"/>
      <c r="I40" s="8"/>
      <c r="J40" s="8"/>
      <c r="K40" s="8"/>
      <c r="L40" s="8"/>
      <c r="M40" s="8"/>
      <c r="N40" s="8"/>
    </row>
    <row r="41" spans="1:14" x14ac:dyDescent="0.25">
      <c r="A41" s="946" t="s">
        <v>531</v>
      </c>
      <c r="B41" s="46">
        <v>39</v>
      </c>
      <c r="C41" s="47"/>
      <c r="D41" s="47"/>
      <c r="E41" s="47"/>
      <c r="F41" s="47"/>
      <c r="G41" s="47"/>
      <c r="H41" s="47"/>
      <c r="I41" s="47"/>
      <c r="J41" s="47"/>
      <c r="K41" s="47"/>
      <c r="L41" s="47"/>
      <c r="M41" s="47"/>
      <c r="N41" s="47"/>
    </row>
    <row r="42" spans="1:14" x14ac:dyDescent="0.25">
      <c r="A42" s="946"/>
      <c r="B42" s="47">
        <v>40</v>
      </c>
      <c r="C42" s="47"/>
      <c r="D42" s="47"/>
      <c r="E42" s="47"/>
      <c r="F42" s="47"/>
      <c r="G42" s="47"/>
      <c r="H42" s="47"/>
      <c r="I42" s="47"/>
      <c r="J42" s="47"/>
      <c r="K42" s="47"/>
      <c r="L42" s="47"/>
      <c r="M42" s="47"/>
      <c r="N42" s="47"/>
    </row>
    <row r="43" spans="1:14" x14ac:dyDescent="0.25">
      <c r="A43" s="946"/>
      <c r="B43" s="47">
        <v>41</v>
      </c>
      <c r="C43" s="47"/>
      <c r="D43" s="47"/>
      <c r="E43" s="47"/>
      <c r="F43" s="47"/>
      <c r="G43" s="47"/>
      <c r="H43" s="47"/>
      <c r="I43" s="47"/>
      <c r="J43" s="47"/>
      <c r="K43" s="47"/>
      <c r="L43" s="47"/>
      <c r="M43" s="47"/>
      <c r="N43" s="47"/>
    </row>
    <row r="44" spans="1:14" x14ac:dyDescent="0.25">
      <c r="A44" s="946"/>
      <c r="B44" s="48">
        <v>42</v>
      </c>
      <c r="C44" s="47"/>
      <c r="D44" s="47"/>
      <c r="E44" s="47"/>
      <c r="F44" s="47"/>
      <c r="G44" s="47"/>
      <c r="H44" s="47"/>
      <c r="I44" s="47"/>
      <c r="J44" s="47"/>
      <c r="K44" s="47"/>
      <c r="L44" s="47"/>
      <c r="M44" s="47"/>
      <c r="N44" s="47"/>
    </row>
    <row r="45" spans="1:14" x14ac:dyDescent="0.25">
      <c r="A45" s="939" t="s">
        <v>532</v>
      </c>
      <c r="B45" s="12">
        <v>43</v>
      </c>
      <c r="C45" s="12"/>
      <c r="D45" s="12"/>
      <c r="E45" s="12"/>
      <c r="F45" s="12"/>
      <c r="G45" s="12"/>
      <c r="H45" s="12"/>
      <c r="I45" s="12"/>
      <c r="J45" s="12"/>
      <c r="K45" s="12"/>
      <c r="L45" s="12"/>
      <c r="M45" s="12"/>
      <c r="N45" s="12"/>
    </row>
    <row r="46" spans="1:14" x14ac:dyDescent="0.25">
      <c r="A46" s="939"/>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Y87"/>
  <sheetViews>
    <sheetView view="pageBreakPreview" topLeftCell="B1" zoomScale="60" zoomScaleNormal="75" workbookViewId="0">
      <selection activeCell="R17" sqref="C16:AB17"/>
    </sheetView>
  </sheetViews>
  <sheetFormatPr baseColWidth="10" defaultColWidth="10.85546875" defaultRowHeight="15" x14ac:dyDescent="0.25"/>
  <cols>
    <col min="1" max="1" width="41.85546875" style="108" customWidth="1"/>
    <col min="2" max="2" width="15.42578125" style="108" customWidth="1"/>
    <col min="3" max="3" width="17.42578125" style="108" customWidth="1"/>
    <col min="4" max="16" width="15.42578125" style="108" customWidth="1"/>
    <col min="17" max="17" width="16" style="108" bestFit="1" customWidth="1"/>
    <col min="18" max="18" width="14.85546875" style="108" bestFit="1" customWidth="1"/>
    <col min="19" max="19" width="16" style="108" bestFit="1" customWidth="1"/>
    <col min="20" max="21" width="14.85546875" style="108" bestFit="1" customWidth="1"/>
    <col min="22" max="24" width="16" style="108" bestFit="1" customWidth="1"/>
    <col min="25" max="27" width="14.85546875" style="108" bestFit="1" customWidth="1"/>
    <col min="28" max="29" width="16" style="108" bestFit="1" customWidth="1"/>
    <col min="30" max="30" width="19.42578125" style="108" customWidth="1"/>
    <col min="31" max="31" width="6.42578125" style="108" bestFit="1" customWidth="1"/>
    <col min="32" max="32" width="22.85546875" style="108" customWidth="1"/>
    <col min="33" max="33" width="18.42578125" style="108" bestFit="1" customWidth="1"/>
    <col min="34" max="34" width="8.42578125" style="108" customWidth="1"/>
    <col min="35" max="35" width="18.42578125" style="108" bestFit="1" customWidth="1"/>
    <col min="36" max="36" width="5.42578125" style="108" customWidth="1"/>
    <col min="37" max="37" width="18.42578125" style="108" bestFit="1" customWidth="1"/>
    <col min="38" max="38" width="4.42578125" style="108" customWidth="1"/>
    <col min="39" max="39" width="23" style="108" bestFit="1" customWidth="1"/>
    <col min="40" max="40" width="10.85546875" style="108"/>
    <col min="41" max="41" width="18.42578125" style="108" bestFit="1" customWidth="1"/>
    <col min="42" max="42" width="16.140625" style="108" customWidth="1"/>
    <col min="43" max="16384" width="10.85546875" style="108"/>
  </cols>
  <sheetData>
    <row r="1" spans="1:30" ht="32.25" customHeight="1" x14ac:dyDescent="0.25">
      <c r="A1" s="489"/>
      <c r="B1" s="492" t="s">
        <v>0</v>
      </c>
      <c r="C1" s="493"/>
      <c r="D1" s="493"/>
      <c r="E1" s="493"/>
      <c r="F1" s="493"/>
      <c r="G1" s="493"/>
      <c r="H1" s="493"/>
      <c r="I1" s="493"/>
      <c r="J1" s="493"/>
      <c r="K1" s="493"/>
      <c r="L1" s="493"/>
      <c r="M1" s="493"/>
      <c r="N1" s="493"/>
      <c r="O1" s="493"/>
      <c r="P1" s="493"/>
      <c r="Q1" s="493"/>
      <c r="R1" s="493"/>
      <c r="S1" s="493"/>
      <c r="T1" s="493"/>
      <c r="U1" s="493"/>
      <c r="V1" s="493"/>
      <c r="W1" s="493"/>
      <c r="X1" s="493"/>
      <c r="Y1" s="493"/>
      <c r="Z1" s="493"/>
      <c r="AA1" s="494"/>
      <c r="AB1" s="495" t="s">
        <v>1</v>
      </c>
      <c r="AC1" s="496"/>
      <c r="AD1" s="497"/>
    </row>
    <row r="2" spans="1:30" ht="30.75" customHeight="1" x14ac:dyDescent="0.25">
      <c r="A2" s="490"/>
      <c r="B2" s="498" t="s">
        <v>2</v>
      </c>
      <c r="C2" s="499"/>
      <c r="D2" s="499"/>
      <c r="E2" s="499"/>
      <c r="F2" s="499"/>
      <c r="G2" s="499"/>
      <c r="H2" s="499"/>
      <c r="I2" s="499"/>
      <c r="J2" s="499"/>
      <c r="K2" s="499"/>
      <c r="L2" s="499"/>
      <c r="M2" s="499"/>
      <c r="N2" s="499"/>
      <c r="O2" s="499"/>
      <c r="P2" s="499"/>
      <c r="Q2" s="499"/>
      <c r="R2" s="499"/>
      <c r="S2" s="499"/>
      <c r="T2" s="499"/>
      <c r="U2" s="499"/>
      <c r="V2" s="499"/>
      <c r="W2" s="499"/>
      <c r="X2" s="499"/>
      <c r="Y2" s="499"/>
      <c r="Z2" s="499"/>
      <c r="AA2" s="500"/>
      <c r="AB2" s="501" t="s">
        <v>3</v>
      </c>
      <c r="AC2" s="502"/>
      <c r="AD2" s="503"/>
    </row>
    <row r="3" spans="1:30" ht="37.5" customHeight="1" x14ac:dyDescent="0.25">
      <c r="A3" s="490"/>
      <c r="B3" s="504" t="s">
        <v>4</v>
      </c>
      <c r="C3" s="505"/>
      <c r="D3" s="505"/>
      <c r="E3" s="505"/>
      <c r="F3" s="505"/>
      <c r="G3" s="505"/>
      <c r="H3" s="505"/>
      <c r="I3" s="505"/>
      <c r="J3" s="505"/>
      <c r="K3" s="505"/>
      <c r="L3" s="505"/>
      <c r="M3" s="505"/>
      <c r="N3" s="505"/>
      <c r="O3" s="505"/>
      <c r="P3" s="505"/>
      <c r="Q3" s="505"/>
      <c r="R3" s="505"/>
      <c r="S3" s="505"/>
      <c r="T3" s="505"/>
      <c r="U3" s="505"/>
      <c r="V3" s="505"/>
      <c r="W3" s="505"/>
      <c r="X3" s="505"/>
      <c r="Y3" s="505"/>
      <c r="Z3" s="505"/>
      <c r="AA3" s="506"/>
      <c r="AB3" s="501" t="s">
        <v>5</v>
      </c>
      <c r="AC3" s="502"/>
      <c r="AD3" s="503"/>
    </row>
    <row r="4" spans="1:30" ht="15.75" customHeight="1" thickBot="1" x14ac:dyDescent="0.3">
      <c r="A4" s="491"/>
      <c r="B4" s="507"/>
      <c r="C4" s="508"/>
      <c r="D4" s="508"/>
      <c r="E4" s="508"/>
      <c r="F4" s="508"/>
      <c r="G4" s="508"/>
      <c r="H4" s="508"/>
      <c r="I4" s="508"/>
      <c r="J4" s="508"/>
      <c r="K4" s="508"/>
      <c r="L4" s="508"/>
      <c r="M4" s="508"/>
      <c r="N4" s="508"/>
      <c r="O4" s="508"/>
      <c r="P4" s="508"/>
      <c r="Q4" s="508"/>
      <c r="R4" s="508"/>
      <c r="S4" s="508"/>
      <c r="T4" s="508"/>
      <c r="U4" s="508"/>
      <c r="V4" s="508"/>
      <c r="W4" s="508"/>
      <c r="X4" s="508"/>
      <c r="Y4" s="508"/>
      <c r="Z4" s="508"/>
      <c r="AA4" s="509"/>
      <c r="AB4" s="510" t="s">
        <v>6</v>
      </c>
      <c r="AC4" s="511"/>
      <c r="AD4" s="512"/>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515" t="s">
        <v>7</v>
      </c>
      <c r="B7" s="516"/>
      <c r="C7" s="521" t="s">
        <v>40</v>
      </c>
      <c r="D7" s="515" t="s">
        <v>9</v>
      </c>
      <c r="E7" s="524"/>
      <c r="F7" s="524"/>
      <c r="G7" s="524"/>
      <c r="H7" s="516"/>
      <c r="I7" s="527">
        <v>44929</v>
      </c>
      <c r="J7" s="528"/>
      <c r="K7" s="515" t="s">
        <v>10</v>
      </c>
      <c r="L7" s="516"/>
      <c r="M7" s="543" t="s">
        <v>11</v>
      </c>
      <c r="N7" s="544"/>
      <c r="O7" s="533"/>
      <c r="P7" s="534"/>
      <c r="Q7" s="54"/>
      <c r="R7" s="54"/>
      <c r="S7" s="54"/>
      <c r="T7" s="54"/>
      <c r="U7" s="54"/>
      <c r="V7" s="54"/>
      <c r="W7" s="54"/>
      <c r="X7" s="54"/>
      <c r="Y7" s="54"/>
      <c r="Z7" s="55"/>
      <c r="AA7" s="54"/>
      <c r="AB7" s="54"/>
      <c r="AC7" s="60"/>
      <c r="AD7" s="61"/>
    </row>
    <row r="8" spans="1:30" x14ac:dyDescent="0.25">
      <c r="A8" s="517"/>
      <c r="B8" s="518"/>
      <c r="C8" s="522"/>
      <c r="D8" s="517"/>
      <c r="E8" s="525"/>
      <c r="F8" s="525"/>
      <c r="G8" s="525"/>
      <c r="H8" s="518"/>
      <c r="I8" s="529"/>
      <c r="J8" s="530"/>
      <c r="K8" s="517"/>
      <c r="L8" s="518"/>
      <c r="M8" s="535" t="s">
        <v>12</v>
      </c>
      <c r="N8" s="536"/>
      <c r="O8" s="537"/>
      <c r="P8" s="538"/>
      <c r="Q8" s="54"/>
      <c r="R8" s="54"/>
      <c r="S8" s="54"/>
      <c r="T8" s="54"/>
      <c r="U8" s="54"/>
      <c r="V8" s="54"/>
      <c r="W8" s="54"/>
      <c r="X8" s="54"/>
      <c r="Y8" s="54"/>
      <c r="Z8" s="55"/>
      <c r="AA8" s="54"/>
      <c r="AB8" s="54"/>
      <c r="AC8" s="60"/>
      <c r="AD8" s="61"/>
    </row>
    <row r="9" spans="1:30" ht="15.75" thickBot="1" x14ac:dyDescent="0.3">
      <c r="A9" s="519"/>
      <c r="B9" s="520"/>
      <c r="C9" s="523"/>
      <c r="D9" s="519"/>
      <c r="E9" s="526"/>
      <c r="F9" s="526"/>
      <c r="G9" s="526"/>
      <c r="H9" s="520"/>
      <c r="I9" s="531"/>
      <c r="J9" s="532"/>
      <c r="K9" s="519"/>
      <c r="L9" s="520"/>
      <c r="M9" s="539" t="s">
        <v>13</v>
      </c>
      <c r="N9" s="540"/>
      <c r="O9" s="541" t="s">
        <v>14</v>
      </c>
      <c r="P9" s="542"/>
      <c r="Q9" s="54"/>
      <c r="R9" s="54"/>
      <c r="S9" s="54"/>
      <c r="T9" s="54"/>
      <c r="U9" s="54"/>
      <c r="V9" s="54"/>
      <c r="W9" s="54"/>
      <c r="X9" s="54"/>
      <c r="Y9" s="54"/>
      <c r="Z9" s="55"/>
      <c r="AA9" s="54"/>
      <c r="AB9" s="54"/>
      <c r="AC9" s="60"/>
      <c r="AD9" s="61"/>
    </row>
    <row r="10" spans="1:30" ht="15" customHeight="1" thickBot="1" x14ac:dyDescent="0.3">
      <c r="A10" s="151"/>
      <c r="B10" s="152"/>
      <c r="C10" s="152"/>
      <c r="D10" s="65"/>
      <c r="E10" s="65"/>
      <c r="F10" s="65"/>
      <c r="G10" s="65"/>
      <c r="H10" s="65"/>
      <c r="I10" s="212"/>
      <c r="J10" s="212"/>
      <c r="K10" s="65"/>
      <c r="L10" s="65"/>
      <c r="M10" s="213"/>
      <c r="N10" s="213"/>
      <c r="O10" s="112"/>
      <c r="P10" s="112"/>
      <c r="Q10" s="152"/>
      <c r="R10" s="152"/>
      <c r="S10" s="152"/>
      <c r="T10" s="152"/>
      <c r="U10" s="152"/>
      <c r="V10" s="152"/>
      <c r="W10" s="152"/>
      <c r="X10" s="152"/>
      <c r="Y10" s="152"/>
      <c r="Z10" s="153"/>
      <c r="AA10" s="152"/>
      <c r="AB10" s="152"/>
      <c r="AC10" s="154"/>
      <c r="AD10" s="155"/>
    </row>
    <row r="11" spans="1:30" ht="15" customHeight="1" x14ac:dyDescent="0.25">
      <c r="A11" s="515" t="s">
        <v>15</v>
      </c>
      <c r="B11" s="516"/>
      <c r="C11" s="580" t="s">
        <v>16</v>
      </c>
      <c r="D11" s="581"/>
      <c r="E11" s="581"/>
      <c r="F11" s="581"/>
      <c r="G11" s="581"/>
      <c r="H11" s="581"/>
      <c r="I11" s="581"/>
      <c r="J11" s="581"/>
      <c r="K11" s="581"/>
      <c r="L11" s="581"/>
      <c r="M11" s="581"/>
      <c r="N11" s="581"/>
      <c r="O11" s="581"/>
      <c r="P11" s="581"/>
      <c r="Q11" s="581"/>
      <c r="R11" s="581"/>
      <c r="S11" s="581"/>
      <c r="T11" s="581"/>
      <c r="U11" s="581"/>
      <c r="V11" s="581"/>
      <c r="W11" s="581"/>
      <c r="X11" s="581"/>
      <c r="Y11" s="581"/>
      <c r="Z11" s="581"/>
      <c r="AA11" s="581"/>
      <c r="AB11" s="581"/>
      <c r="AC11" s="581"/>
      <c r="AD11" s="582"/>
    </row>
    <row r="12" spans="1:30" ht="15" customHeight="1" x14ac:dyDescent="0.25">
      <c r="A12" s="517"/>
      <c r="B12" s="518"/>
      <c r="C12" s="583"/>
      <c r="D12" s="584"/>
      <c r="E12" s="584"/>
      <c r="F12" s="584"/>
      <c r="G12" s="584"/>
      <c r="H12" s="584"/>
      <c r="I12" s="584"/>
      <c r="J12" s="584"/>
      <c r="K12" s="584"/>
      <c r="L12" s="584"/>
      <c r="M12" s="584"/>
      <c r="N12" s="584"/>
      <c r="O12" s="584"/>
      <c r="P12" s="584"/>
      <c r="Q12" s="584"/>
      <c r="R12" s="584"/>
      <c r="S12" s="584"/>
      <c r="T12" s="584"/>
      <c r="U12" s="584"/>
      <c r="V12" s="584"/>
      <c r="W12" s="584"/>
      <c r="X12" s="584"/>
      <c r="Y12" s="584"/>
      <c r="Z12" s="584"/>
      <c r="AA12" s="584"/>
      <c r="AB12" s="584"/>
      <c r="AC12" s="584"/>
      <c r="AD12" s="585"/>
    </row>
    <row r="13" spans="1:30" ht="15" customHeight="1" thickBot="1" x14ac:dyDescent="0.3">
      <c r="A13" s="519"/>
      <c r="B13" s="520"/>
      <c r="C13" s="586"/>
      <c r="D13" s="587"/>
      <c r="E13" s="587"/>
      <c r="F13" s="587"/>
      <c r="G13" s="587"/>
      <c r="H13" s="587"/>
      <c r="I13" s="587"/>
      <c r="J13" s="587"/>
      <c r="K13" s="587"/>
      <c r="L13" s="587"/>
      <c r="M13" s="587"/>
      <c r="N13" s="587"/>
      <c r="O13" s="587"/>
      <c r="P13" s="587"/>
      <c r="Q13" s="587"/>
      <c r="R13" s="587"/>
      <c r="S13" s="587"/>
      <c r="T13" s="587"/>
      <c r="U13" s="587"/>
      <c r="V13" s="587"/>
      <c r="W13" s="587"/>
      <c r="X13" s="587"/>
      <c r="Y13" s="587"/>
      <c r="Z13" s="587"/>
      <c r="AA13" s="587"/>
      <c r="AB13" s="587"/>
      <c r="AC13" s="587"/>
      <c r="AD13" s="588"/>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x14ac:dyDescent="0.3">
      <c r="A15" s="471" t="s">
        <v>17</v>
      </c>
      <c r="B15" s="472"/>
      <c r="C15" s="577" t="s">
        <v>18</v>
      </c>
      <c r="D15" s="578"/>
      <c r="E15" s="578"/>
      <c r="F15" s="578"/>
      <c r="G15" s="578"/>
      <c r="H15" s="578"/>
      <c r="I15" s="578"/>
      <c r="J15" s="578"/>
      <c r="K15" s="579"/>
      <c r="L15" s="484" t="s">
        <v>19</v>
      </c>
      <c r="M15" s="488"/>
      <c r="N15" s="488"/>
      <c r="O15" s="488"/>
      <c r="P15" s="488"/>
      <c r="Q15" s="485"/>
      <c r="R15" s="481" t="s">
        <v>20</v>
      </c>
      <c r="S15" s="482"/>
      <c r="T15" s="482"/>
      <c r="U15" s="482"/>
      <c r="V15" s="482"/>
      <c r="W15" s="482"/>
      <c r="X15" s="483"/>
      <c r="Y15" s="484" t="s">
        <v>21</v>
      </c>
      <c r="Z15" s="485"/>
      <c r="AA15" s="467" t="s">
        <v>22</v>
      </c>
      <c r="AB15" s="468"/>
      <c r="AC15" s="468"/>
      <c r="AD15" s="469"/>
    </row>
    <row r="16" spans="1:30" ht="9" customHeight="1" thickBot="1" x14ac:dyDescent="0.3">
      <c r="A16" s="59"/>
      <c r="B16" s="54"/>
      <c r="C16" s="470"/>
      <c r="D16" s="470"/>
      <c r="E16" s="470"/>
      <c r="F16" s="470"/>
      <c r="G16" s="470"/>
      <c r="H16" s="470"/>
      <c r="I16" s="470"/>
      <c r="J16" s="470"/>
      <c r="K16" s="470"/>
      <c r="L16" s="470"/>
      <c r="M16" s="470"/>
      <c r="N16" s="470"/>
      <c r="O16" s="470"/>
      <c r="P16" s="470"/>
      <c r="Q16" s="470"/>
      <c r="R16" s="470"/>
      <c r="S16" s="470"/>
      <c r="T16" s="470"/>
      <c r="U16" s="470"/>
      <c r="V16" s="470"/>
      <c r="W16" s="470"/>
      <c r="X16" s="470"/>
      <c r="Y16" s="470"/>
      <c r="Z16" s="470"/>
      <c r="AA16" s="470"/>
      <c r="AB16" s="470"/>
      <c r="AC16" s="73"/>
      <c r="AD16" s="74"/>
    </row>
    <row r="17" spans="1:41" s="214" customFormat="1" ht="37.5" customHeight="1" thickBot="1" x14ac:dyDescent="0.3">
      <c r="A17" s="471" t="s">
        <v>23</v>
      </c>
      <c r="B17" s="472"/>
      <c r="C17" s="574" t="s">
        <v>93</v>
      </c>
      <c r="D17" s="575"/>
      <c r="E17" s="575"/>
      <c r="F17" s="575"/>
      <c r="G17" s="575"/>
      <c r="H17" s="575"/>
      <c r="I17" s="575"/>
      <c r="J17" s="575"/>
      <c r="K17" s="575"/>
      <c r="L17" s="575"/>
      <c r="M17" s="575"/>
      <c r="N17" s="575"/>
      <c r="O17" s="575"/>
      <c r="P17" s="575"/>
      <c r="Q17" s="576"/>
      <c r="R17" s="484" t="s">
        <v>25</v>
      </c>
      <c r="S17" s="488"/>
      <c r="T17" s="488"/>
      <c r="U17" s="488"/>
      <c r="V17" s="485"/>
      <c r="W17" s="486">
        <v>0.9</v>
      </c>
      <c r="X17" s="487"/>
      <c r="Y17" s="488" t="s">
        <v>26</v>
      </c>
      <c r="Z17" s="488"/>
      <c r="AA17" s="488"/>
      <c r="AB17" s="485"/>
      <c r="AC17" s="476">
        <v>0.2</v>
      </c>
      <c r="AD17" s="477"/>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
      <c r="A19" s="484" t="s">
        <v>27</v>
      </c>
      <c r="B19" s="488"/>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5"/>
      <c r="AE19" s="215"/>
      <c r="AF19" s="215"/>
    </row>
    <row r="20" spans="1:41" ht="32.25" customHeight="1" thickBot="1" x14ac:dyDescent="0.3">
      <c r="A20" s="246"/>
      <c r="B20" s="58"/>
      <c r="C20" s="484" t="s">
        <v>28</v>
      </c>
      <c r="D20" s="488"/>
      <c r="E20" s="488"/>
      <c r="F20" s="488"/>
      <c r="G20" s="488"/>
      <c r="H20" s="488"/>
      <c r="I20" s="488"/>
      <c r="J20" s="488"/>
      <c r="K20" s="488"/>
      <c r="L20" s="488"/>
      <c r="M20" s="488"/>
      <c r="N20" s="488"/>
      <c r="O20" s="488"/>
      <c r="P20" s="485"/>
      <c r="Q20" s="484" t="s">
        <v>29</v>
      </c>
      <c r="R20" s="488"/>
      <c r="S20" s="488"/>
      <c r="T20" s="488"/>
      <c r="U20" s="488"/>
      <c r="V20" s="488"/>
      <c r="W20" s="488"/>
      <c r="X20" s="488"/>
      <c r="Y20" s="488"/>
      <c r="Z20" s="488"/>
      <c r="AA20" s="488"/>
      <c r="AB20" s="488"/>
      <c r="AC20" s="488"/>
      <c r="AD20" s="485"/>
      <c r="AE20" s="215"/>
      <c r="AF20" s="215"/>
    </row>
    <row r="21" spans="1:41" ht="32.25" customHeight="1" thickBot="1" x14ac:dyDescent="0.3">
      <c r="A21" s="59"/>
      <c r="B21" s="247"/>
      <c r="C21" s="324" t="s">
        <v>30</v>
      </c>
      <c r="D21" s="187" t="s">
        <v>31</v>
      </c>
      <c r="E21" s="187" t="s">
        <v>32</v>
      </c>
      <c r="F21" s="187" t="s">
        <v>33</v>
      </c>
      <c r="G21" s="187" t="s">
        <v>34</v>
      </c>
      <c r="H21" s="187" t="s">
        <v>35</v>
      </c>
      <c r="I21" s="187" t="s">
        <v>8</v>
      </c>
      <c r="J21" s="187" t="s">
        <v>36</v>
      </c>
      <c r="K21" s="187" t="s">
        <v>37</v>
      </c>
      <c r="L21" s="187" t="s">
        <v>38</v>
      </c>
      <c r="M21" s="187" t="s">
        <v>39</v>
      </c>
      <c r="N21" s="187" t="s">
        <v>40</v>
      </c>
      <c r="O21" s="187" t="s">
        <v>41</v>
      </c>
      <c r="P21" s="188" t="s">
        <v>42</v>
      </c>
      <c r="Q21" s="324" t="s">
        <v>30</v>
      </c>
      <c r="R21" s="187" t="s">
        <v>31</v>
      </c>
      <c r="S21" s="187" t="s">
        <v>32</v>
      </c>
      <c r="T21" s="187" t="s">
        <v>33</v>
      </c>
      <c r="U21" s="187" t="s">
        <v>34</v>
      </c>
      <c r="V21" s="187" t="s">
        <v>35</v>
      </c>
      <c r="W21" s="187" t="s">
        <v>8</v>
      </c>
      <c r="X21" s="187" t="s">
        <v>36</v>
      </c>
      <c r="Y21" s="187" t="s">
        <v>37</v>
      </c>
      <c r="Z21" s="187" t="s">
        <v>38</v>
      </c>
      <c r="AA21" s="187" t="s">
        <v>39</v>
      </c>
      <c r="AB21" s="187" t="s">
        <v>40</v>
      </c>
      <c r="AC21" s="187" t="s">
        <v>41</v>
      </c>
      <c r="AD21" s="188" t="s">
        <v>42</v>
      </c>
      <c r="AE21" s="216"/>
      <c r="AF21" s="216"/>
    </row>
    <row r="22" spans="1:41" ht="32.25" customHeight="1" x14ac:dyDescent="0.25">
      <c r="A22" s="180" t="s">
        <v>43</v>
      </c>
      <c r="B22" s="248"/>
      <c r="C22" s="239" t="s">
        <v>44</v>
      </c>
      <c r="D22" s="239" t="s">
        <v>44</v>
      </c>
      <c r="E22" s="239" t="s">
        <v>44</v>
      </c>
      <c r="F22" s="239" t="s">
        <v>44</v>
      </c>
      <c r="G22" s="239" t="s">
        <v>44</v>
      </c>
      <c r="H22" s="239" t="s">
        <v>44</v>
      </c>
      <c r="I22" s="239" t="s">
        <v>44</v>
      </c>
      <c r="J22" s="239" t="s">
        <v>44</v>
      </c>
      <c r="K22" s="239" t="s">
        <v>44</v>
      </c>
      <c r="L22" s="239" t="s">
        <v>44</v>
      </c>
      <c r="M22" s="239" t="s">
        <v>44</v>
      </c>
      <c r="N22" s="239" t="s">
        <v>44</v>
      </c>
      <c r="O22" s="239">
        <f>SUM(C22:N22)</f>
        <v>0</v>
      </c>
      <c r="P22" s="237"/>
      <c r="Q22" s="253">
        <v>620606424.75</v>
      </c>
      <c r="R22" s="239"/>
      <c r="S22" s="239">
        <v>271806000</v>
      </c>
      <c r="T22" s="239">
        <v>8596121.5999999996</v>
      </c>
      <c r="U22" s="239">
        <v>89288066.599999994</v>
      </c>
      <c r="V22" s="239"/>
      <c r="W22" s="239"/>
      <c r="X22" s="239"/>
      <c r="Y22" s="239"/>
      <c r="Z22" s="239"/>
      <c r="AA22" s="239"/>
      <c r="AB22" s="241">
        <f>1001672824-Q22-R22-S22-T22-U22-V22-W22-X22-Y22-Z22-AA22</f>
        <v>11376211.050000012</v>
      </c>
      <c r="AC22" s="239">
        <f t="shared" ref="AC22:AC25" si="0">SUM(Q22:AB22)</f>
        <v>1001672824</v>
      </c>
      <c r="AD22" s="235"/>
      <c r="AE22" s="216"/>
      <c r="AF22" s="216"/>
    </row>
    <row r="23" spans="1:41" ht="32.25" customHeight="1" x14ac:dyDescent="0.25">
      <c r="A23" s="181" t="s">
        <v>45</v>
      </c>
      <c r="B23" s="182"/>
      <c r="C23" s="238" t="s">
        <v>46</v>
      </c>
      <c r="D23" s="239" t="s">
        <v>46</v>
      </c>
      <c r="E23" s="239" t="s">
        <v>46</v>
      </c>
      <c r="F23" s="239" t="s">
        <v>46</v>
      </c>
      <c r="G23" s="239" t="s">
        <v>46</v>
      </c>
      <c r="H23" s="239" t="s">
        <v>46</v>
      </c>
      <c r="I23" s="239" t="s">
        <v>46</v>
      </c>
      <c r="J23" s="239" t="s">
        <v>46</v>
      </c>
      <c r="K23" s="239" t="s">
        <v>46</v>
      </c>
      <c r="L23" s="239" t="s">
        <v>46</v>
      </c>
      <c r="M23" s="239" t="s">
        <v>46</v>
      </c>
      <c r="N23" s="239" t="s">
        <v>46</v>
      </c>
      <c r="O23" s="241" t="s">
        <v>46</v>
      </c>
      <c r="P23" s="237"/>
      <c r="Q23" s="253">
        <v>617924725</v>
      </c>
      <c r="R23" s="239">
        <v>0</v>
      </c>
      <c r="S23" s="272">
        <f>612731687-Q23</f>
        <v>-5193038</v>
      </c>
      <c r="T23" s="239">
        <v>10563669</v>
      </c>
      <c r="U23" s="239">
        <f>631024750-Q23-R23-S23-T23</f>
        <v>7729394</v>
      </c>
      <c r="V23" s="239">
        <f>688476817-Q23-R23-S23-T23-U23</f>
        <v>57452067</v>
      </c>
      <c r="W23" s="239">
        <f>698823517-Q23-R23-S23-T23-U23-V23</f>
        <v>10346700</v>
      </c>
      <c r="X23" s="239">
        <f>698823517-Q23-R23-S23-T23-U23-V23-W23</f>
        <v>0</v>
      </c>
      <c r="Y23" s="239">
        <f>969981923-Q23-R23-S23-T23-U23-V23-W23-X23</f>
        <v>271158406</v>
      </c>
      <c r="Z23" s="239">
        <f>988922823-Q23-R23-S23-T23-U23-V23-W23-X23-Y23</f>
        <v>18940900</v>
      </c>
      <c r="AA23" s="239">
        <f>988922823-Q23-R23-S23-T23-U23-V23-W23-X23-Y23-Z23</f>
        <v>0</v>
      </c>
      <c r="AB23" s="239">
        <f>1001395994-Q23-R23-S23-T23-U23-V23-W23-X23-Y23-Z23-AA23</f>
        <v>12473171</v>
      </c>
      <c r="AC23" s="239">
        <f t="shared" si="0"/>
        <v>1001395994</v>
      </c>
      <c r="AD23" s="368">
        <f>(SUM(Q23:AB23)/SUM(Q22:AB22))</f>
        <v>0.99972363231449712</v>
      </c>
      <c r="AE23" s="216"/>
      <c r="AF23" s="216"/>
    </row>
    <row r="24" spans="1:41" ht="32.25" customHeight="1" x14ac:dyDescent="0.25">
      <c r="A24" s="181" t="s">
        <v>47</v>
      </c>
      <c r="B24" s="182"/>
      <c r="C24" s="253" t="s">
        <v>44</v>
      </c>
      <c r="D24" s="241">
        <f>54361114</f>
        <v>54361114</v>
      </c>
      <c r="E24" s="241">
        <f>3611445</f>
        <v>3611445</v>
      </c>
      <c r="F24" s="241">
        <f>3453332</f>
        <v>3453332</v>
      </c>
      <c r="G24" s="241">
        <f>1051250+14373459-316666.5-3491248.5</f>
        <v>11616794</v>
      </c>
      <c r="H24" s="239">
        <v>0</v>
      </c>
      <c r="I24" s="239">
        <v>-509256</v>
      </c>
      <c r="J24" s="239">
        <v>0</v>
      </c>
      <c r="K24" s="239" t="s">
        <v>44</v>
      </c>
      <c r="L24" s="239" t="s">
        <v>44</v>
      </c>
      <c r="M24" s="239" t="s">
        <v>44</v>
      </c>
      <c r="N24" s="239" t="s">
        <v>44</v>
      </c>
      <c r="O24" s="241">
        <f>SUM(C24:N24)</f>
        <v>72533429</v>
      </c>
      <c r="P24" s="237"/>
      <c r="Q24" s="253"/>
      <c r="R24" s="241">
        <v>32896294.760000002</v>
      </c>
      <c r="S24" s="239">
        <v>58063415.193333298</v>
      </c>
      <c r="T24" s="239">
        <v>57728752.743333302</v>
      </c>
      <c r="U24" s="239">
        <v>55057487.493333302</v>
      </c>
      <c r="V24" s="239">
        <v>146470198.29333299</v>
      </c>
      <c r="W24" s="241">
        <v>199537548.29333299</v>
      </c>
      <c r="X24" s="241">
        <v>119736548.29333299</v>
      </c>
      <c r="Y24" s="241">
        <v>65375348.293333299</v>
      </c>
      <c r="Z24" s="241">
        <v>65375348.293333299</v>
      </c>
      <c r="AA24" s="241">
        <v>66403702.493333302</v>
      </c>
      <c r="AB24" s="241">
        <f>1001672824-Q24-R24-S24-T24-U24-V24-W24-X24-Y24-Z24-AA24</f>
        <v>135028179.85000125</v>
      </c>
      <c r="AC24" s="239">
        <f t="shared" si="0"/>
        <v>1001672824.0000001</v>
      </c>
      <c r="AD24" s="283"/>
      <c r="AE24" s="216"/>
      <c r="AF24" s="216"/>
      <c r="AG24" s="217"/>
    </row>
    <row r="25" spans="1:41" ht="32.25" customHeight="1" thickBot="1" x14ac:dyDescent="0.3">
      <c r="A25" s="183" t="s">
        <v>48</v>
      </c>
      <c r="B25" s="249"/>
      <c r="C25" s="254">
        <v>696667</v>
      </c>
      <c r="D25" s="255">
        <f>61973398-C25</f>
        <v>61276731</v>
      </c>
      <c r="E25" s="255">
        <v>2781031</v>
      </c>
      <c r="F25" s="255">
        <v>1430394</v>
      </c>
      <c r="G25" s="255">
        <f>72533429-C25-D25-E25-F25</f>
        <v>6348606</v>
      </c>
      <c r="H25" s="255">
        <v>0</v>
      </c>
      <c r="I25" s="255">
        <v>0</v>
      </c>
      <c r="J25" s="255">
        <v>0</v>
      </c>
      <c r="K25" s="255" t="s">
        <v>44</v>
      </c>
      <c r="L25" s="255" t="s">
        <v>44</v>
      </c>
      <c r="M25" s="255" t="s">
        <v>44</v>
      </c>
      <c r="N25" s="255" t="s">
        <v>44</v>
      </c>
      <c r="O25" s="258">
        <f>SUM(C25:N25)</f>
        <v>72533429</v>
      </c>
      <c r="P25" s="282">
        <f>(SUM(C25:I25)/SUM(C24:I24))</f>
        <v>1</v>
      </c>
      <c r="Q25" s="254"/>
      <c r="R25" s="255">
        <v>25853067</v>
      </c>
      <c r="S25" s="255">
        <v>54619928</v>
      </c>
      <c r="T25" s="276">
        <v>53489650</v>
      </c>
      <c r="U25" s="255">
        <f>187452295-R25-S25-T25</f>
        <v>53489650</v>
      </c>
      <c r="V25" s="255">
        <f>249781588-R25-S25-T25-U25</f>
        <v>62329293</v>
      </c>
      <c r="W25" s="255">
        <f>309562647-Q25-R25-S25-T25-U25-V25</f>
        <v>59781059</v>
      </c>
      <c r="X25" s="255">
        <f>373655574-R25-S25-T25-U25-V25-W25</f>
        <v>64092927</v>
      </c>
      <c r="Y25" s="255">
        <f>514898396-R25-S25-T25-U25-V25-W25-X25</f>
        <v>141242822</v>
      </c>
      <c r="Z25" s="255">
        <f>603731527-R25-S25-T25-U25-V25-W25-X25-Y25</f>
        <v>88833131</v>
      </c>
      <c r="AA25" s="255">
        <f>802215721-R25-S25-T25-U25-V25-W25-X25-Y25-Z25</f>
        <v>198484194</v>
      </c>
      <c r="AB25" s="255">
        <f>975017527-Q25-R25-S25-T25-U25-V25-W25-X25-Y25-Z25-AA25</f>
        <v>172801806</v>
      </c>
      <c r="AC25" s="255">
        <f t="shared" si="0"/>
        <v>975017527</v>
      </c>
      <c r="AD25" s="282">
        <f>(SUM(Q25:AB25)/SUM(Q24:AB24))</f>
        <v>0.97338921815452972</v>
      </c>
      <c r="AE25" s="216"/>
      <c r="AF25" s="216"/>
      <c r="AG25" s="217"/>
    </row>
    <row r="26" spans="1:41" ht="32.25" customHeight="1" thickBot="1" x14ac:dyDescent="0.3">
      <c r="A26" s="59"/>
      <c r="B26" s="54"/>
      <c r="C26" s="80"/>
      <c r="D26" s="80"/>
      <c r="E26" s="80"/>
      <c r="F26" s="80"/>
      <c r="G26" s="80"/>
      <c r="H26" s="80"/>
      <c r="I26" s="268"/>
      <c r="J26" s="80"/>
      <c r="K26" s="80"/>
      <c r="L26" s="80"/>
      <c r="M26" s="80"/>
      <c r="N26" s="80"/>
      <c r="O26" s="80"/>
      <c r="P26" s="268"/>
      <c r="Q26" s="80"/>
      <c r="R26" s="80"/>
      <c r="S26" s="80"/>
      <c r="T26" s="80"/>
      <c r="U26" s="80"/>
      <c r="V26" s="80"/>
      <c r="W26" s="80"/>
      <c r="X26" s="80"/>
      <c r="Y26" s="80"/>
      <c r="Z26" s="80"/>
      <c r="AA26" s="80"/>
      <c r="AB26" s="80"/>
      <c r="AC26" s="60"/>
      <c r="AD26" s="61"/>
    </row>
    <row r="27" spans="1:41" ht="33.950000000000003" customHeight="1" x14ac:dyDescent="0.25">
      <c r="A27" s="463" t="s">
        <v>49</v>
      </c>
      <c r="B27" s="464"/>
      <c r="C27" s="465"/>
      <c r="D27" s="465"/>
      <c r="E27" s="465"/>
      <c r="F27" s="465"/>
      <c r="G27" s="465"/>
      <c r="H27" s="465"/>
      <c r="I27" s="465"/>
      <c r="J27" s="465"/>
      <c r="K27" s="465"/>
      <c r="L27" s="465"/>
      <c r="M27" s="465"/>
      <c r="N27" s="465"/>
      <c r="O27" s="465"/>
      <c r="P27" s="465"/>
      <c r="Q27" s="465"/>
      <c r="R27" s="465"/>
      <c r="S27" s="465"/>
      <c r="T27" s="465"/>
      <c r="U27" s="465"/>
      <c r="V27" s="465"/>
      <c r="W27" s="465"/>
      <c r="X27" s="465"/>
      <c r="Y27" s="465"/>
      <c r="Z27" s="465"/>
      <c r="AA27" s="465"/>
      <c r="AB27" s="465"/>
      <c r="AC27" s="465"/>
      <c r="AD27" s="466"/>
    </row>
    <row r="28" spans="1:41" ht="15" customHeight="1" x14ac:dyDescent="0.25">
      <c r="A28" s="458" t="s">
        <v>50</v>
      </c>
      <c r="B28" s="460" t="s">
        <v>51</v>
      </c>
      <c r="C28" s="461"/>
      <c r="D28" s="423" t="s">
        <v>52</v>
      </c>
      <c r="E28" s="424"/>
      <c r="F28" s="424"/>
      <c r="G28" s="424"/>
      <c r="H28" s="424"/>
      <c r="I28" s="424"/>
      <c r="J28" s="424"/>
      <c r="K28" s="424"/>
      <c r="L28" s="424"/>
      <c r="M28" s="424"/>
      <c r="N28" s="424"/>
      <c r="O28" s="462"/>
      <c r="P28" s="451" t="s">
        <v>41</v>
      </c>
      <c r="Q28" s="451" t="s">
        <v>53</v>
      </c>
      <c r="R28" s="451"/>
      <c r="S28" s="451"/>
      <c r="T28" s="451"/>
      <c r="U28" s="451"/>
      <c r="V28" s="451"/>
      <c r="W28" s="451"/>
      <c r="X28" s="451"/>
      <c r="Y28" s="451"/>
      <c r="Z28" s="451"/>
      <c r="AA28" s="451"/>
      <c r="AB28" s="451"/>
      <c r="AC28" s="451"/>
      <c r="AD28" s="453"/>
    </row>
    <row r="29" spans="1:41" ht="27" customHeight="1" x14ac:dyDescent="0.25">
      <c r="A29" s="459"/>
      <c r="B29" s="454"/>
      <c r="C29" s="456"/>
      <c r="D29" s="88" t="s">
        <v>30</v>
      </c>
      <c r="E29" s="88" t="s">
        <v>31</v>
      </c>
      <c r="F29" s="88" t="s">
        <v>32</v>
      </c>
      <c r="G29" s="88" t="s">
        <v>33</v>
      </c>
      <c r="H29" s="88" t="s">
        <v>34</v>
      </c>
      <c r="I29" s="88" t="s">
        <v>35</v>
      </c>
      <c r="J29" s="88" t="s">
        <v>8</v>
      </c>
      <c r="K29" s="88" t="s">
        <v>36</v>
      </c>
      <c r="L29" s="88" t="s">
        <v>37</v>
      </c>
      <c r="M29" s="88" t="s">
        <v>38</v>
      </c>
      <c r="N29" s="88" t="s">
        <v>39</v>
      </c>
      <c r="O29" s="88" t="s">
        <v>40</v>
      </c>
      <c r="P29" s="462"/>
      <c r="Q29" s="451"/>
      <c r="R29" s="451"/>
      <c r="S29" s="451"/>
      <c r="T29" s="451"/>
      <c r="U29" s="451"/>
      <c r="V29" s="451"/>
      <c r="W29" s="451"/>
      <c r="X29" s="451"/>
      <c r="Y29" s="451"/>
      <c r="Z29" s="451"/>
      <c r="AA29" s="451"/>
      <c r="AB29" s="451"/>
      <c r="AC29" s="451"/>
      <c r="AD29" s="453"/>
    </row>
    <row r="30" spans="1:41" ht="42" customHeight="1" thickBot="1" x14ac:dyDescent="0.3">
      <c r="A30" s="85" t="s">
        <v>93</v>
      </c>
      <c r="B30" s="572"/>
      <c r="C30" s="573"/>
      <c r="D30" s="89"/>
      <c r="E30" s="89"/>
      <c r="F30" s="89"/>
      <c r="G30" s="89"/>
      <c r="H30" s="89"/>
      <c r="I30" s="89"/>
      <c r="J30" s="89"/>
      <c r="K30" s="89"/>
      <c r="L30" s="89"/>
      <c r="M30" s="89"/>
      <c r="N30" s="89"/>
      <c r="O30" s="89"/>
      <c r="P30" s="86">
        <f>SUM(D30:O30)</f>
        <v>0</v>
      </c>
      <c r="Q30" s="446" t="s">
        <v>94</v>
      </c>
      <c r="R30" s="446"/>
      <c r="S30" s="446"/>
      <c r="T30" s="446"/>
      <c r="U30" s="446"/>
      <c r="V30" s="446"/>
      <c r="W30" s="446"/>
      <c r="X30" s="446"/>
      <c r="Y30" s="446"/>
      <c r="Z30" s="446"/>
      <c r="AA30" s="446"/>
      <c r="AB30" s="446"/>
      <c r="AC30" s="446"/>
      <c r="AD30" s="447"/>
    </row>
    <row r="31" spans="1:41" ht="45" customHeight="1" x14ac:dyDescent="0.25">
      <c r="A31" s="448" t="s">
        <v>55</v>
      </c>
      <c r="B31" s="449"/>
      <c r="C31" s="449"/>
      <c r="D31" s="449"/>
      <c r="E31" s="449"/>
      <c r="F31" s="449"/>
      <c r="G31" s="449"/>
      <c r="H31" s="449"/>
      <c r="I31" s="449"/>
      <c r="J31" s="449"/>
      <c r="K31" s="449"/>
      <c r="L31" s="449"/>
      <c r="M31" s="449"/>
      <c r="N31" s="449"/>
      <c r="O31" s="449"/>
      <c r="P31" s="449"/>
      <c r="Q31" s="449"/>
      <c r="R31" s="449"/>
      <c r="S31" s="449"/>
      <c r="T31" s="449"/>
      <c r="U31" s="449"/>
      <c r="V31" s="449"/>
      <c r="W31" s="449"/>
      <c r="X31" s="449"/>
      <c r="Y31" s="449"/>
      <c r="Z31" s="449"/>
      <c r="AA31" s="449"/>
      <c r="AB31" s="449"/>
      <c r="AC31" s="449"/>
      <c r="AD31" s="450"/>
    </row>
    <row r="32" spans="1:41" ht="23.25" customHeight="1" x14ac:dyDescent="0.25">
      <c r="A32" s="416" t="s">
        <v>56</v>
      </c>
      <c r="B32" s="451" t="s">
        <v>57</v>
      </c>
      <c r="C32" s="451" t="s">
        <v>51</v>
      </c>
      <c r="D32" s="451" t="s">
        <v>58</v>
      </c>
      <c r="E32" s="451"/>
      <c r="F32" s="451"/>
      <c r="G32" s="451"/>
      <c r="H32" s="451"/>
      <c r="I32" s="451"/>
      <c r="J32" s="451"/>
      <c r="K32" s="451"/>
      <c r="L32" s="451"/>
      <c r="M32" s="451"/>
      <c r="N32" s="451"/>
      <c r="O32" s="451"/>
      <c r="P32" s="451"/>
      <c r="Q32" s="451" t="s">
        <v>59</v>
      </c>
      <c r="R32" s="451"/>
      <c r="S32" s="451"/>
      <c r="T32" s="451"/>
      <c r="U32" s="451"/>
      <c r="V32" s="451"/>
      <c r="W32" s="451"/>
      <c r="X32" s="451"/>
      <c r="Y32" s="451"/>
      <c r="Z32" s="451"/>
      <c r="AA32" s="451"/>
      <c r="AB32" s="451"/>
      <c r="AC32" s="451"/>
      <c r="AD32" s="453"/>
      <c r="AG32" s="218"/>
      <c r="AH32" s="218"/>
      <c r="AI32" s="218"/>
      <c r="AJ32" s="218"/>
      <c r="AK32" s="218"/>
      <c r="AL32" s="218"/>
      <c r="AM32" s="218"/>
      <c r="AN32" s="218"/>
      <c r="AO32" s="218"/>
    </row>
    <row r="33" spans="1:41" ht="23.25" customHeight="1" x14ac:dyDescent="0.25">
      <c r="A33" s="416"/>
      <c r="B33" s="451"/>
      <c r="C33" s="452"/>
      <c r="D33" s="88" t="s">
        <v>30</v>
      </c>
      <c r="E33" s="88" t="s">
        <v>31</v>
      </c>
      <c r="F33" s="88" t="s">
        <v>32</v>
      </c>
      <c r="G33" s="88" t="s">
        <v>33</v>
      </c>
      <c r="H33" s="88" t="s">
        <v>34</v>
      </c>
      <c r="I33" s="88" t="s">
        <v>35</v>
      </c>
      <c r="J33" s="88" t="s">
        <v>8</v>
      </c>
      <c r="K33" s="88" t="s">
        <v>36</v>
      </c>
      <c r="L33" s="88" t="s">
        <v>37</v>
      </c>
      <c r="M33" s="88" t="s">
        <v>38</v>
      </c>
      <c r="N33" s="88" t="s">
        <v>39</v>
      </c>
      <c r="O33" s="88" t="s">
        <v>40</v>
      </c>
      <c r="P33" s="88" t="s">
        <v>41</v>
      </c>
      <c r="Q33" s="454" t="s">
        <v>60</v>
      </c>
      <c r="R33" s="455"/>
      <c r="S33" s="455"/>
      <c r="T33" s="455"/>
      <c r="U33" s="455"/>
      <c r="V33" s="456"/>
      <c r="W33" s="454" t="s">
        <v>61</v>
      </c>
      <c r="X33" s="455"/>
      <c r="Y33" s="455"/>
      <c r="Z33" s="456"/>
      <c r="AA33" s="454" t="s">
        <v>62</v>
      </c>
      <c r="AB33" s="455"/>
      <c r="AC33" s="455"/>
      <c r="AD33" s="457"/>
      <c r="AG33" s="218"/>
      <c r="AH33" s="218"/>
      <c r="AI33" s="218"/>
      <c r="AJ33" s="218"/>
      <c r="AK33" s="218"/>
      <c r="AL33" s="218"/>
      <c r="AM33" s="218"/>
      <c r="AN33" s="218"/>
      <c r="AO33" s="218"/>
    </row>
    <row r="34" spans="1:41" ht="216" customHeight="1" x14ac:dyDescent="0.25">
      <c r="A34" s="426" t="s">
        <v>93</v>
      </c>
      <c r="B34" s="428">
        <f>B38+B40+B42+B44+B46+B48+B50+B52+B54+B56</f>
        <v>0.19999999999999998</v>
      </c>
      <c r="C34" s="90" t="s">
        <v>63</v>
      </c>
      <c r="D34" s="206">
        <f>D87</f>
        <v>0</v>
      </c>
      <c r="E34" s="206">
        <f t="shared" ref="E34:O34" si="1">E87</f>
        <v>3.0600000000000006E-2</v>
      </c>
      <c r="F34" s="206">
        <f t="shared" si="1"/>
        <v>4.7700000000000006E-2</v>
      </c>
      <c r="G34" s="206">
        <f t="shared" si="1"/>
        <v>6.6600000000000006E-2</v>
      </c>
      <c r="H34" s="206">
        <f t="shared" si="1"/>
        <v>6.0300000000000013E-2</v>
      </c>
      <c r="I34" s="206">
        <f t="shared" si="1"/>
        <v>9.9000000000000019E-2</v>
      </c>
      <c r="J34" s="206">
        <f t="shared" si="1"/>
        <v>0.10350000000000002</v>
      </c>
      <c r="K34" s="206">
        <f t="shared" si="1"/>
        <v>0.11250000000000004</v>
      </c>
      <c r="L34" s="206">
        <f t="shared" si="1"/>
        <v>0.10800000000000003</v>
      </c>
      <c r="M34" s="206">
        <f t="shared" si="1"/>
        <v>0.12150000000000002</v>
      </c>
      <c r="N34" s="206">
        <f t="shared" si="1"/>
        <v>9.4500000000000028E-2</v>
      </c>
      <c r="O34" s="206">
        <f t="shared" si="1"/>
        <v>5.5800000000000009E-2</v>
      </c>
      <c r="P34" s="207">
        <f>SUM(D34:O34)</f>
        <v>0.90000000000000024</v>
      </c>
      <c r="Q34" s="430" t="s">
        <v>600</v>
      </c>
      <c r="R34" s="431"/>
      <c r="S34" s="431"/>
      <c r="T34" s="431"/>
      <c r="U34" s="431"/>
      <c r="V34" s="432"/>
      <c r="W34" s="436" t="s">
        <v>553</v>
      </c>
      <c r="X34" s="437"/>
      <c r="Y34" s="437"/>
      <c r="Z34" s="438"/>
      <c r="AA34" s="430" t="s">
        <v>599</v>
      </c>
      <c r="AB34" s="431"/>
      <c r="AC34" s="431"/>
      <c r="AD34" s="442"/>
      <c r="AG34" s="218"/>
      <c r="AH34" s="218"/>
      <c r="AI34" s="218"/>
      <c r="AJ34" s="218"/>
      <c r="AK34" s="218"/>
      <c r="AL34" s="218"/>
      <c r="AM34" s="218"/>
      <c r="AN34" s="218"/>
      <c r="AO34" s="218"/>
    </row>
    <row r="35" spans="1:41" ht="138.75" customHeight="1" thickBot="1" x14ac:dyDescent="0.3">
      <c r="A35" s="427"/>
      <c r="B35" s="429"/>
      <c r="C35" s="91" t="s">
        <v>64</v>
      </c>
      <c r="D35" s="210">
        <f>D84</f>
        <v>0</v>
      </c>
      <c r="E35" s="210">
        <f t="shared" ref="E35:L35" si="2">E84</f>
        <v>3.0600000000000006E-2</v>
      </c>
      <c r="F35" s="210">
        <f t="shared" si="2"/>
        <v>5.4000000000000006E-2</v>
      </c>
      <c r="G35" s="210">
        <f t="shared" si="2"/>
        <v>6.6600000000000006E-2</v>
      </c>
      <c r="H35" s="210">
        <f t="shared" si="2"/>
        <v>6.9300000000000014E-2</v>
      </c>
      <c r="I35" s="210">
        <f t="shared" si="2"/>
        <v>9.7200000000000022E-2</v>
      </c>
      <c r="J35" s="210">
        <f t="shared" si="2"/>
        <v>8.5500000000000034E-2</v>
      </c>
      <c r="K35" s="210">
        <f t="shared" si="2"/>
        <v>7.6500000000000012E-2</v>
      </c>
      <c r="L35" s="210">
        <f t="shared" si="2"/>
        <v>9.5400000000000026E-2</v>
      </c>
      <c r="M35" s="210">
        <f>M84</f>
        <v>0.13950000000000001</v>
      </c>
      <c r="N35" s="210">
        <f>N84</f>
        <v>0.13500000000000004</v>
      </c>
      <c r="O35" s="210">
        <f>O84</f>
        <v>5.0400000000000014E-2</v>
      </c>
      <c r="P35" s="208">
        <f>SUM(D35:O35)</f>
        <v>0.90000000000000013</v>
      </c>
      <c r="Q35" s="433"/>
      <c r="R35" s="434"/>
      <c r="S35" s="434"/>
      <c r="T35" s="434"/>
      <c r="U35" s="434"/>
      <c r="V35" s="435"/>
      <c r="W35" s="439"/>
      <c r="X35" s="440"/>
      <c r="Y35" s="440"/>
      <c r="Z35" s="441"/>
      <c r="AA35" s="433"/>
      <c r="AB35" s="434"/>
      <c r="AC35" s="434"/>
      <c r="AD35" s="443"/>
      <c r="AE35" s="219"/>
      <c r="AG35" s="218"/>
      <c r="AH35" s="218"/>
      <c r="AI35" s="218"/>
      <c r="AJ35" s="218"/>
      <c r="AK35" s="218"/>
      <c r="AL35" s="218"/>
      <c r="AM35" s="218"/>
      <c r="AN35" s="218"/>
      <c r="AO35" s="218"/>
    </row>
    <row r="36" spans="1:41" ht="26.25" customHeight="1" x14ac:dyDescent="0.25">
      <c r="A36" s="448" t="s">
        <v>65</v>
      </c>
      <c r="B36" s="417" t="s">
        <v>66</v>
      </c>
      <c r="C36" s="419" t="s">
        <v>67</v>
      </c>
      <c r="D36" s="419"/>
      <c r="E36" s="419"/>
      <c r="F36" s="419"/>
      <c r="G36" s="419"/>
      <c r="H36" s="419"/>
      <c r="I36" s="419"/>
      <c r="J36" s="419"/>
      <c r="K36" s="419"/>
      <c r="L36" s="419"/>
      <c r="M36" s="419"/>
      <c r="N36" s="419"/>
      <c r="O36" s="419"/>
      <c r="P36" s="419"/>
      <c r="Q36" s="420" t="s">
        <v>68</v>
      </c>
      <c r="R36" s="421"/>
      <c r="S36" s="421"/>
      <c r="T36" s="421"/>
      <c r="U36" s="421"/>
      <c r="V36" s="421"/>
      <c r="W36" s="421"/>
      <c r="X36" s="421"/>
      <c r="Y36" s="421"/>
      <c r="Z36" s="421"/>
      <c r="AA36" s="421"/>
      <c r="AB36" s="421"/>
      <c r="AC36" s="421"/>
      <c r="AD36" s="422"/>
      <c r="AG36" s="218"/>
      <c r="AH36" s="218"/>
      <c r="AI36" s="218"/>
      <c r="AJ36" s="218"/>
      <c r="AK36" s="218"/>
      <c r="AL36" s="218"/>
      <c r="AM36" s="218"/>
      <c r="AN36" s="218"/>
      <c r="AO36" s="218"/>
    </row>
    <row r="37" spans="1:41" ht="26.25" customHeight="1" x14ac:dyDescent="0.25">
      <c r="A37" s="571"/>
      <c r="B37" s="418"/>
      <c r="C37" s="88" t="s">
        <v>69</v>
      </c>
      <c r="D37" s="88" t="s">
        <v>70</v>
      </c>
      <c r="E37" s="88" t="s">
        <v>71</v>
      </c>
      <c r="F37" s="88" t="s">
        <v>72</v>
      </c>
      <c r="G37" s="88" t="s">
        <v>73</v>
      </c>
      <c r="H37" s="88" t="s">
        <v>74</v>
      </c>
      <c r="I37" s="88" t="s">
        <v>75</v>
      </c>
      <c r="J37" s="88" t="s">
        <v>76</v>
      </c>
      <c r="K37" s="88" t="s">
        <v>77</v>
      </c>
      <c r="L37" s="88" t="s">
        <v>78</v>
      </c>
      <c r="M37" s="88" t="s">
        <v>79</v>
      </c>
      <c r="N37" s="88" t="s">
        <v>80</v>
      </c>
      <c r="O37" s="88" t="s">
        <v>81</v>
      </c>
      <c r="P37" s="88" t="s">
        <v>82</v>
      </c>
      <c r="Q37" s="423" t="s">
        <v>83</v>
      </c>
      <c r="R37" s="424"/>
      <c r="S37" s="424"/>
      <c r="T37" s="424"/>
      <c r="U37" s="424"/>
      <c r="V37" s="424"/>
      <c r="W37" s="424"/>
      <c r="X37" s="424"/>
      <c r="Y37" s="424"/>
      <c r="Z37" s="424"/>
      <c r="AA37" s="424"/>
      <c r="AB37" s="424"/>
      <c r="AC37" s="424"/>
      <c r="AD37" s="425"/>
      <c r="AG37" s="220"/>
      <c r="AH37" s="220"/>
      <c r="AI37" s="220"/>
      <c r="AJ37" s="220"/>
      <c r="AK37" s="220"/>
      <c r="AL37" s="220"/>
      <c r="AM37" s="220"/>
      <c r="AN37" s="220"/>
      <c r="AO37" s="220"/>
    </row>
    <row r="38" spans="1:41" ht="65.25" customHeight="1" x14ac:dyDescent="0.25">
      <c r="A38" s="396" t="s">
        <v>95</v>
      </c>
      <c r="B38" s="563">
        <v>0.02</v>
      </c>
      <c r="C38" s="90" t="s">
        <v>63</v>
      </c>
      <c r="D38" s="95">
        <v>0</v>
      </c>
      <c r="E38" s="95">
        <v>0</v>
      </c>
      <c r="F38" s="95">
        <v>0</v>
      </c>
      <c r="G38" s="95">
        <v>0</v>
      </c>
      <c r="H38" s="95">
        <v>0.05</v>
      </c>
      <c r="I38" s="95">
        <v>0.05</v>
      </c>
      <c r="J38" s="95">
        <v>0.05</v>
      </c>
      <c r="K38" s="95">
        <v>0.2</v>
      </c>
      <c r="L38" s="294">
        <v>0.2</v>
      </c>
      <c r="M38" s="95">
        <v>0.2</v>
      </c>
      <c r="N38" s="95">
        <v>0.2</v>
      </c>
      <c r="O38" s="95">
        <v>0.05</v>
      </c>
      <c r="P38" s="96">
        <f t="shared" ref="P38:P49" si="3">SUM(D38:O38)</f>
        <v>1</v>
      </c>
      <c r="Q38" s="547" t="s">
        <v>584</v>
      </c>
      <c r="R38" s="548"/>
      <c r="S38" s="548"/>
      <c r="T38" s="548"/>
      <c r="U38" s="548"/>
      <c r="V38" s="548"/>
      <c r="W38" s="548"/>
      <c r="X38" s="548"/>
      <c r="Y38" s="548"/>
      <c r="Z38" s="548"/>
      <c r="AA38" s="548"/>
      <c r="AB38" s="548"/>
      <c r="AC38" s="548"/>
      <c r="AD38" s="549"/>
      <c r="AE38" s="97"/>
      <c r="AG38" s="221"/>
      <c r="AH38" s="221"/>
      <c r="AI38" s="221"/>
      <c r="AJ38" s="221"/>
      <c r="AK38" s="221"/>
      <c r="AL38" s="221"/>
      <c r="AM38" s="221"/>
      <c r="AN38" s="221"/>
      <c r="AO38" s="221"/>
    </row>
    <row r="39" spans="1:41" ht="65.25" customHeight="1" x14ac:dyDescent="0.25">
      <c r="A39" s="380"/>
      <c r="B39" s="398"/>
      <c r="C39" s="99" t="s">
        <v>64</v>
      </c>
      <c r="D39" s="100">
        <v>0</v>
      </c>
      <c r="E39" s="100">
        <v>0</v>
      </c>
      <c r="F39" s="100">
        <v>0</v>
      </c>
      <c r="G39" s="100">
        <v>0</v>
      </c>
      <c r="H39" s="100">
        <v>0.05</v>
      </c>
      <c r="I39" s="100">
        <v>0.05</v>
      </c>
      <c r="J39" s="100">
        <v>0.05</v>
      </c>
      <c r="K39" s="100">
        <v>0.05</v>
      </c>
      <c r="L39" s="100">
        <v>0.1</v>
      </c>
      <c r="M39" s="100">
        <v>0.2</v>
      </c>
      <c r="N39" s="100">
        <v>0.2</v>
      </c>
      <c r="O39" s="100">
        <v>0.3</v>
      </c>
      <c r="P39" s="101">
        <f t="shared" si="3"/>
        <v>1</v>
      </c>
      <c r="Q39" s="550"/>
      <c r="R39" s="551"/>
      <c r="S39" s="551"/>
      <c r="T39" s="551"/>
      <c r="U39" s="551"/>
      <c r="V39" s="551"/>
      <c r="W39" s="551"/>
      <c r="X39" s="551"/>
      <c r="Y39" s="551"/>
      <c r="Z39" s="551"/>
      <c r="AA39" s="551"/>
      <c r="AB39" s="551"/>
      <c r="AC39" s="551"/>
      <c r="AD39" s="552"/>
      <c r="AE39" s="97"/>
    </row>
    <row r="40" spans="1:41" ht="45.75" customHeight="1" x14ac:dyDescent="0.25">
      <c r="A40" s="380" t="s">
        <v>96</v>
      </c>
      <c r="B40" s="398">
        <v>0.02</v>
      </c>
      <c r="C40" s="102" t="s">
        <v>63</v>
      </c>
      <c r="D40" s="103">
        <v>0</v>
      </c>
      <c r="E40" s="103">
        <v>0.02</v>
      </c>
      <c r="F40" s="103">
        <v>0.1</v>
      </c>
      <c r="G40" s="103">
        <v>0.04</v>
      </c>
      <c r="H40" s="103">
        <v>0.02</v>
      </c>
      <c r="I40" s="103">
        <v>0.1</v>
      </c>
      <c r="J40" s="103">
        <v>0.1</v>
      </c>
      <c r="K40" s="103">
        <v>0.1</v>
      </c>
      <c r="L40" s="103">
        <v>0.1</v>
      </c>
      <c r="M40" s="103">
        <v>0.2</v>
      </c>
      <c r="N40" s="103">
        <v>0.2</v>
      </c>
      <c r="O40" s="103">
        <v>0.02</v>
      </c>
      <c r="P40" s="101">
        <f t="shared" si="3"/>
        <v>1</v>
      </c>
      <c r="Q40" s="547" t="s">
        <v>583</v>
      </c>
      <c r="R40" s="548"/>
      <c r="S40" s="548"/>
      <c r="T40" s="548"/>
      <c r="U40" s="548"/>
      <c r="V40" s="548"/>
      <c r="W40" s="548"/>
      <c r="X40" s="548"/>
      <c r="Y40" s="548"/>
      <c r="Z40" s="548"/>
      <c r="AA40" s="548"/>
      <c r="AB40" s="548"/>
      <c r="AC40" s="548"/>
      <c r="AD40" s="549"/>
      <c r="AE40" s="97"/>
    </row>
    <row r="41" spans="1:41" ht="45.75" customHeight="1" x14ac:dyDescent="0.25">
      <c r="A41" s="380"/>
      <c r="B41" s="398"/>
      <c r="C41" s="99" t="s">
        <v>64</v>
      </c>
      <c r="D41" s="100">
        <v>0</v>
      </c>
      <c r="E41" s="100">
        <v>0.02</v>
      </c>
      <c r="F41" s="100">
        <v>0.1</v>
      </c>
      <c r="G41" s="100">
        <v>0.04</v>
      </c>
      <c r="H41" s="100">
        <v>0.02</v>
      </c>
      <c r="I41" s="100">
        <v>0.1</v>
      </c>
      <c r="J41" s="100">
        <v>0.1</v>
      </c>
      <c r="K41" s="100">
        <v>0.1</v>
      </c>
      <c r="L41" s="104">
        <v>0.1</v>
      </c>
      <c r="M41" s="104">
        <v>0.2</v>
      </c>
      <c r="N41" s="104">
        <v>0.2</v>
      </c>
      <c r="O41" s="104">
        <v>0.02</v>
      </c>
      <c r="P41" s="101">
        <f t="shared" si="3"/>
        <v>1</v>
      </c>
      <c r="Q41" s="550"/>
      <c r="R41" s="551"/>
      <c r="S41" s="551"/>
      <c r="T41" s="551"/>
      <c r="U41" s="551"/>
      <c r="V41" s="551"/>
      <c r="W41" s="551"/>
      <c r="X41" s="551"/>
      <c r="Y41" s="551"/>
      <c r="Z41" s="551"/>
      <c r="AA41" s="551"/>
      <c r="AB41" s="551"/>
      <c r="AC41" s="551"/>
      <c r="AD41" s="552"/>
      <c r="AE41" s="97"/>
    </row>
    <row r="42" spans="1:41" ht="79.5" customHeight="1" x14ac:dyDescent="0.25">
      <c r="A42" s="555" t="s">
        <v>97</v>
      </c>
      <c r="B42" s="398">
        <v>0.02</v>
      </c>
      <c r="C42" s="102" t="s">
        <v>63</v>
      </c>
      <c r="D42" s="103">
        <v>0</v>
      </c>
      <c r="E42" s="103">
        <v>0.02</v>
      </c>
      <c r="F42" s="103">
        <v>0.08</v>
      </c>
      <c r="G42" s="103">
        <v>0.1</v>
      </c>
      <c r="H42" s="103">
        <v>0.1</v>
      </c>
      <c r="I42" s="103">
        <v>0.1</v>
      </c>
      <c r="J42" s="103">
        <v>0.1</v>
      </c>
      <c r="K42" s="103">
        <v>0.1</v>
      </c>
      <c r="L42" s="103">
        <v>0.1</v>
      </c>
      <c r="M42" s="103">
        <v>0.1</v>
      </c>
      <c r="N42" s="103">
        <v>0.1</v>
      </c>
      <c r="O42" s="103">
        <v>0.1</v>
      </c>
      <c r="P42" s="101">
        <f t="shared" si="3"/>
        <v>0.99999999999999989</v>
      </c>
      <c r="Q42" s="564" t="s">
        <v>585</v>
      </c>
      <c r="R42" s="565"/>
      <c r="S42" s="565"/>
      <c r="T42" s="565"/>
      <c r="U42" s="565"/>
      <c r="V42" s="565"/>
      <c r="W42" s="565"/>
      <c r="X42" s="565"/>
      <c r="Y42" s="565"/>
      <c r="Z42" s="565"/>
      <c r="AA42" s="565"/>
      <c r="AB42" s="565"/>
      <c r="AC42" s="565"/>
      <c r="AD42" s="566"/>
      <c r="AE42" s="97"/>
    </row>
    <row r="43" spans="1:41" ht="45.75" customHeight="1" x14ac:dyDescent="0.25">
      <c r="A43" s="396"/>
      <c r="B43" s="398"/>
      <c r="C43" s="99" t="s">
        <v>64</v>
      </c>
      <c r="D43" s="100">
        <v>0</v>
      </c>
      <c r="E43" s="100">
        <v>0.02</v>
      </c>
      <c r="F43" s="100">
        <v>0.08</v>
      </c>
      <c r="G43" s="100">
        <v>0.1</v>
      </c>
      <c r="H43" s="100">
        <v>0.1</v>
      </c>
      <c r="I43" s="100">
        <v>0.1</v>
      </c>
      <c r="J43" s="100">
        <v>0.1</v>
      </c>
      <c r="K43" s="100">
        <v>0.1</v>
      </c>
      <c r="L43" s="104">
        <v>0.1</v>
      </c>
      <c r="M43" s="104">
        <v>0.1</v>
      </c>
      <c r="N43" s="104">
        <v>0.1</v>
      </c>
      <c r="O43" s="104">
        <v>0.1</v>
      </c>
      <c r="P43" s="101">
        <f t="shared" si="3"/>
        <v>0.99999999999999989</v>
      </c>
      <c r="Q43" s="567"/>
      <c r="R43" s="568"/>
      <c r="S43" s="568"/>
      <c r="T43" s="568"/>
      <c r="U43" s="568"/>
      <c r="V43" s="568"/>
      <c r="W43" s="568"/>
      <c r="X43" s="568"/>
      <c r="Y43" s="568"/>
      <c r="Z43" s="568"/>
      <c r="AA43" s="568"/>
      <c r="AB43" s="568"/>
      <c r="AC43" s="568"/>
      <c r="AD43" s="569"/>
      <c r="AE43" s="97"/>
    </row>
    <row r="44" spans="1:41" ht="81" customHeight="1" x14ac:dyDescent="0.25">
      <c r="A44" s="555" t="s">
        <v>98</v>
      </c>
      <c r="B44" s="398">
        <v>0.02</v>
      </c>
      <c r="C44" s="102" t="s">
        <v>63</v>
      </c>
      <c r="D44" s="157">
        <v>0</v>
      </c>
      <c r="E44" s="157">
        <v>0.05</v>
      </c>
      <c r="F44" s="157">
        <v>0.05</v>
      </c>
      <c r="G44" s="157">
        <v>0.05</v>
      </c>
      <c r="H44" s="157">
        <v>0.05</v>
      </c>
      <c r="I44" s="157">
        <v>0.05</v>
      </c>
      <c r="J44" s="157">
        <v>0.05</v>
      </c>
      <c r="K44" s="157">
        <v>0.1</v>
      </c>
      <c r="L44" s="158">
        <v>0.1</v>
      </c>
      <c r="M44" s="158">
        <v>0.1</v>
      </c>
      <c r="N44" s="158">
        <v>0.2</v>
      </c>
      <c r="O44" s="158">
        <v>0.2</v>
      </c>
      <c r="P44" s="101">
        <v>1</v>
      </c>
      <c r="Q44" s="570" t="s">
        <v>606</v>
      </c>
      <c r="R44" s="548"/>
      <c r="S44" s="548"/>
      <c r="T44" s="548"/>
      <c r="U44" s="548"/>
      <c r="V44" s="548"/>
      <c r="W44" s="548"/>
      <c r="X44" s="548"/>
      <c r="Y44" s="548"/>
      <c r="Z44" s="548"/>
      <c r="AA44" s="548"/>
      <c r="AB44" s="548"/>
      <c r="AC44" s="548"/>
      <c r="AD44" s="549"/>
      <c r="AE44" s="97"/>
    </row>
    <row r="45" spans="1:41" ht="93" customHeight="1" x14ac:dyDescent="0.25">
      <c r="A45" s="396"/>
      <c r="B45" s="398"/>
      <c r="C45" s="99" t="s">
        <v>64</v>
      </c>
      <c r="D45" s="100">
        <v>0</v>
      </c>
      <c r="E45" s="100">
        <v>0.05</v>
      </c>
      <c r="F45" s="100">
        <v>0.05</v>
      </c>
      <c r="G45" s="100">
        <v>0.05</v>
      </c>
      <c r="H45" s="100">
        <v>0.15</v>
      </c>
      <c r="I45" s="100">
        <v>0.05</v>
      </c>
      <c r="J45" s="100">
        <v>0.05</v>
      </c>
      <c r="K45" s="100">
        <v>0.1</v>
      </c>
      <c r="L45" s="104">
        <v>0.1</v>
      </c>
      <c r="M45" s="104">
        <v>0.2</v>
      </c>
      <c r="N45" s="104">
        <v>0.2</v>
      </c>
      <c r="O45" s="104">
        <v>0</v>
      </c>
      <c r="P45" s="101">
        <f xml:space="preserve"> D45+E45+F45+G45+H45+I45+J45+K45+L45+M45+N45</f>
        <v>1</v>
      </c>
      <c r="Q45" s="550"/>
      <c r="R45" s="551"/>
      <c r="S45" s="551"/>
      <c r="T45" s="551"/>
      <c r="U45" s="551"/>
      <c r="V45" s="551"/>
      <c r="W45" s="551"/>
      <c r="X45" s="551"/>
      <c r="Y45" s="551"/>
      <c r="Z45" s="551"/>
      <c r="AA45" s="551"/>
      <c r="AB45" s="551"/>
      <c r="AC45" s="551"/>
      <c r="AD45" s="552"/>
      <c r="AE45" s="97"/>
    </row>
    <row r="46" spans="1:41" ht="168.75" customHeight="1" x14ac:dyDescent="0.25">
      <c r="A46" s="555" t="s">
        <v>99</v>
      </c>
      <c r="B46" s="398">
        <v>0.02</v>
      </c>
      <c r="C46" s="102" t="s">
        <v>63</v>
      </c>
      <c r="D46" s="157">
        <v>0</v>
      </c>
      <c r="E46" s="157">
        <v>0.05</v>
      </c>
      <c r="F46" s="157">
        <v>0.05</v>
      </c>
      <c r="G46" s="157">
        <v>0.1</v>
      </c>
      <c r="H46" s="157">
        <v>0.1</v>
      </c>
      <c r="I46" s="157">
        <v>0.1</v>
      </c>
      <c r="J46" s="157">
        <v>0.1</v>
      </c>
      <c r="K46" s="157">
        <v>0.1</v>
      </c>
      <c r="L46" s="158">
        <v>0.1</v>
      </c>
      <c r="M46" s="158">
        <v>0.1</v>
      </c>
      <c r="N46" s="158">
        <v>0.1</v>
      </c>
      <c r="O46" s="158">
        <v>0.1</v>
      </c>
      <c r="P46" s="101">
        <v>1</v>
      </c>
      <c r="Q46" s="547" t="s">
        <v>607</v>
      </c>
      <c r="R46" s="548"/>
      <c r="S46" s="548"/>
      <c r="T46" s="548"/>
      <c r="U46" s="548"/>
      <c r="V46" s="548"/>
      <c r="W46" s="548"/>
      <c r="X46" s="548"/>
      <c r="Y46" s="548"/>
      <c r="Z46" s="548"/>
      <c r="AA46" s="548"/>
      <c r="AB46" s="548"/>
      <c r="AC46" s="548"/>
      <c r="AD46" s="549"/>
      <c r="AE46" s="97"/>
    </row>
    <row r="47" spans="1:41" ht="168.75" customHeight="1" x14ac:dyDescent="0.25">
      <c r="A47" s="396"/>
      <c r="B47" s="398"/>
      <c r="C47" s="99" t="s">
        <v>64</v>
      </c>
      <c r="D47" s="100">
        <v>0</v>
      </c>
      <c r="E47" s="100">
        <v>0.05</v>
      </c>
      <c r="F47" s="100">
        <v>7.0000000000000007E-2</v>
      </c>
      <c r="G47" s="100">
        <v>7.0000000000000007E-2</v>
      </c>
      <c r="H47" s="100">
        <v>0.1</v>
      </c>
      <c r="I47" s="100">
        <v>0.1</v>
      </c>
      <c r="J47" s="100">
        <v>0.1</v>
      </c>
      <c r="K47" s="100">
        <v>0.1</v>
      </c>
      <c r="L47" s="104">
        <v>0.11</v>
      </c>
      <c r="M47" s="104">
        <v>0.15</v>
      </c>
      <c r="N47" s="104">
        <v>0.15</v>
      </c>
      <c r="O47" s="104">
        <v>0</v>
      </c>
      <c r="P47" s="101">
        <f>SUM(D47:O47)</f>
        <v>1</v>
      </c>
      <c r="Q47" s="550"/>
      <c r="R47" s="551"/>
      <c r="S47" s="551"/>
      <c r="T47" s="551"/>
      <c r="U47" s="551"/>
      <c r="V47" s="551"/>
      <c r="W47" s="551"/>
      <c r="X47" s="551"/>
      <c r="Y47" s="551"/>
      <c r="Z47" s="551"/>
      <c r="AA47" s="551"/>
      <c r="AB47" s="551"/>
      <c r="AC47" s="551"/>
      <c r="AD47" s="552"/>
      <c r="AE47" s="97"/>
    </row>
    <row r="48" spans="1:41" ht="81" customHeight="1" x14ac:dyDescent="0.25">
      <c r="A48" s="555" t="s">
        <v>100</v>
      </c>
      <c r="B48" s="398">
        <v>0.02</v>
      </c>
      <c r="C48" s="102" t="s">
        <v>63</v>
      </c>
      <c r="D48" s="103">
        <v>0</v>
      </c>
      <c r="E48" s="103">
        <v>0.05</v>
      </c>
      <c r="F48" s="103">
        <v>0.05</v>
      </c>
      <c r="G48" s="103">
        <v>0.05</v>
      </c>
      <c r="H48" s="103">
        <v>0.05</v>
      </c>
      <c r="I48" s="103">
        <v>0.1</v>
      </c>
      <c r="J48" s="103">
        <v>0.1</v>
      </c>
      <c r="K48" s="103">
        <v>0.2</v>
      </c>
      <c r="L48" s="103">
        <v>0.1</v>
      </c>
      <c r="M48" s="103">
        <v>0.1</v>
      </c>
      <c r="N48" s="103">
        <v>0.1</v>
      </c>
      <c r="O48" s="103">
        <v>0.1</v>
      </c>
      <c r="P48" s="101">
        <f t="shared" si="3"/>
        <v>1</v>
      </c>
      <c r="Q48" s="547" t="s">
        <v>588</v>
      </c>
      <c r="R48" s="548"/>
      <c r="S48" s="548"/>
      <c r="T48" s="548"/>
      <c r="U48" s="548"/>
      <c r="V48" s="548"/>
      <c r="W48" s="548"/>
      <c r="X48" s="548"/>
      <c r="Y48" s="548"/>
      <c r="Z48" s="548"/>
      <c r="AA48" s="548"/>
      <c r="AB48" s="548"/>
      <c r="AC48" s="548"/>
      <c r="AD48" s="549"/>
      <c r="AE48" s="97"/>
    </row>
    <row r="49" spans="1:51" ht="81" customHeight="1" x14ac:dyDescent="0.25">
      <c r="A49" s="396"/>
      <c r="B49" s="398"/>
      <c r="C49" s="99" t="s">
        <v>64</v>
      </c>
      <c r="D49" s="100">
        <v>0</v>
      </c>
      <c r="E49" s="100">
        <v>0</v>
      </c>
      <c r="F49" s="100">
        <v>0</v>
      </c>
      <c r="G49" s="100">
        <v>0.03</v>
      </c>
      <c r="H49" s="100">
        <v>0</v>
      </c>
      <c r="I49" s="100">
        <v>0.08</v>
      </c>
      <c r="J49" s="100">
        <v>0</v>
      </c>
      <c r="K49" s="100">
        <v>0</v>
      </c>
      <c r="L49" s="104">
        <v>0.15</v>
      </c>
      <c r="M49" s="104">
        <v>0.3</v>
      </c>
      <c r="N49" s="104">
        <v>0.4</v>
      </c>
      <c r="O49" s="104">
        <v>0.04</v>
      </c>
      <c r="P49" s="101">
        <f t="shared" si="3"/>
        <v>1</v>
      </c>
      <c r="Q49" s="550"/>
      <c r="R49" s="551"/>
      <c r="S49" s="551"/>
      <c r="T49" s="551"/>
      <c r="U49" s="551"/>
      <c r="V49" s="551"/>
      <c r="W49" s="551"/>
      <c r="X49" s="551"/>
      <c r="Y49" s="551"/>
      <c r="Z49" s="551"/>
      <c r="AA49" s="551"/>
      <c r="AB49" s="551"/>
      <c r="AC49" s="551"/>
      <c r="AD49" s="552"/>
      <c r="AE49" s="97"/>
    </row>
    <row r="50" spans="1:51" ht="68.25" customHeight="1" x14ac:dyDescent="0.25">
      <c r="A50" s="555" t="s">
        <v>101</v>
      </c>
      <c r="B50" s="553">
        <v>0.02</v>
      </c>
      <c r="C50" s="159" t="s">
        <v>63</v>
      </c>
      <c r="D50" s="160">
        <v>0</v>
      </c>
      <c r="E50" s="160">
        <v>0.05</v>
      </c>
      <c r="F50" s="160">
        <v>0.1</v>
      </c>
      <c r="G50" s="160">
        <v>0.15</v>
      </c>
      <c r="H50" s="160">
        <v>0.1</v>
      </c>
      <c r="I50" s="160">
        <v>0.1</v>
      </c>
      <c r="J50" s="160">
        <v>0.15</v>
      </c>
      <c r="K50" s="160">
        <v>0.1</v>
      </c>
      <c r="L50" s="160">
        <v>0.1</v>
      </c>
      <c r="M50" s="160">
        <v>0.1</v>
      </c>
      <c r="N50" s="160">
        <v>0.05</v>
      </c>
      <c r="O50" s="160">
        <v>0</v>
      </c>
      <c r="P50" s="161">
        <f t="shared" ref="P50:P56" si="4">SUM(D50:O50)</f>
        <v>1</v>
      </c>
      <c r="Q50" s="547" t="s">
        <v>587</v>
      </c>
      <c r="R50" s="548"/>
      <c r="S50" s="548"/>
      <c r="T50" s="548"/>
      <c r="U50" s="548"/>
      <c r="V50" s="548"/>
      <c r="W50" s="548"/>
      <c r="X50" s="548"/>
      <c r="Y50" s="548"/>
      <c r="Z50" s="548"/>
      <c r="AA50" s="548"/>
      <c r="AB50" s="548"/>
      <c r="AC50" s="548"/>
      <c r="AD50" s="549"/>
    </row>
    <row r="51" spans="1:51" ht="68.25" customHeight="1" x14ac:dyDescent="0.25">
      <c r="A51" s="396"/>
      <c r="B51" s="553"/>
      <c r="C51" s="162" t="s">
        <v>64</v>
      </c>
      <c r="D51" s="163">
        <v>0</v>
      </c>
      <c r="E51" s="163">
        <v>0.05</v>
      </c>
      <c r="F51" s="163">
        <v>0.1</v>
      </c>
      <c r="G51" s="163">
        <v>0.2</v>
      </c>
      <c r="H51" s="163">
        <v>0.1</v>
      </c>
      <c r="I51" s="163">
        <v>0.2</v>
      </c>
      <c r="J51" s="163">
        <v>0.15</v>
      </c>
      <c r="K51" s="292">
        <v>0.1</v>
      </c>
      <c r="L51" s="292">
        <v>0.1</v>
      </c>
      <c r="M51" s="292">
        <v>0</v>
      </c>
      <c r="N51" s="292">
        <f>5%-5%</f>
        <v>0</v>
      </c>
      <c r="O51" s="104">
        <v>0</v>
      </c>
      <c r="P51" s="164">
        <f>SUM(D51:O51)</f>
        <v>1.0000000000000002</v>
      </c>
      <c r="Q51" s="550"/>
      <c r="R51" s="551"/>
      <c r="S51" s="551"/>
      <c r="T51" s="551"/>
      <c r="U51" s="551"/>
      <c r="V51" s="551"/>
      <c r="W51" s="551"/>
      <c r="X51" s="551"/>
      <c r="Y51" s="551"/>
      <c r="Z51" s="551"/>
      <c r="AA51" s="551"/>
      <c r="AB51" s="551"/>
      <c r="AC51" s="551"/>
      <c r="AD51" s="552"/>
    </row>
    <row r="52" spans="1:51" ht="45.75" customHeight="1" x14ac:dyDescent="0.25">
      <c r="A52" s="555" t="s">
        <v>102</v>
      </c>
      <c r="B52" s="553">
        <v>0.02</v>
      </c>
      <c r="C52" s="159" t="s">
        <v>63</v>
      </c>
      <c r="D52" s="160">
        <v>0</v>
      </c>
      <c r="E52" s="160">
        <v>0.05</v>
      </c>
      <c r="F52" s="160">
        <v>0.1</v>
      </c>
      <c r="G52" s="160">
        <v>0.1</v>
      </c>
      <c r="H52" s="160">
        <v>0.1</v>
      </c>
      <c r="I52" s="160">
        <v>0.1</v>
      </c>
      <c r="J52" s="160">
        <v>0.1</v>
      </c>
      <c r="K52" s="160">
        <v>0.1</v>
      </c>
      <c r="L52" s="160">
        <v>0.1</v>
      </c>
      <c r="M52" s="160">
        <v>0.1</v>
      </c>
      <c r="N52" s="160">
        <v>0.1</v>
      </c>
      <c r="O52" s="160">
        <v>0.05</v>
      </c>
      <c r="P52" s="161">
        <f t="shared" si="4"/>
        <v>0.99999999999999989</v>
      </c>
      <c r="Q52" s="547" t="s">
        <v>601</v>
      </c>
      <c r="R52" s="548"/>
      <c r="S52" s="548"/>
      <c r="T52" s="548"/>
      <c r="U52" s="548"/>
      <c r="V52" s="548"/>
      <c r="W52" s="548"/>
      <c r="X52" s="548"/>
      <c r="Y52" s="548"/>
      <c r="Z52" s="548"/>
      <c r="AA52" s="548"/>
      <c r="AB52" s="548"/>
      <c r="AC52" s="548"/>
      <c r="AD52" s="549"/>
    </row>
    <row r="53" spans="1:51" ht="46.5" customHeight="1" x14ac:dyDescent="0.25">
      <c r="A53" s="396"/>
      <c r="B53" s="553"/>
      <c r="C53" s="162" t="s">
        <v>64</v>
      </c>
      <c r="D53" s="163">
        <v>0</v>
      </c>
      <c r="E53" s="163">
        <v>0.05</v>
      </c>
      <c r="F53" s="163">
        <v>0.1</v>
      </c>
      <c r="G53" s="163">
        <v>0.1</v>
      </c>
      <c r="H53" s="163">
        <v>0.1</v>
      </c>
      <c r="I53" s="163">
        <v>0.1</v>
      </c>
      <c r="J53" s="163">
        <v>0.1</v>
      </c>
      <c r="K53" s="292">
        <v>0.1</v>
      </c>
      <c r="L53" s="163">
        <v>0.1</v>
      </c>
      <c r="M53" s="163">
        <v>0.1</v>
      </c>
      <c r="N53" s="163">
        <v>0.1</v>
      </c>
      <c r="O53" s="104">
        <v>0.05</v>
      </c>
      <c r="P53" s="164">
        <f t="shared" si="4"/>
        <v>0.99999999999999989</v>
      </c>
      <c r="Q53" s="550"/>
      <c r="R53" s="551"/>
      <c r="S53" s="551"/>
      <c r="T53" s="551"/>
      <c r="U53" s="551"/>
      <c r="V53" s="551"/>
      <c r="W53" s="551"/>
      <c r="X53" s="551"/>
      <c r="Y53" s="551"/>
      <c r="Z53" s="551"/>
      <c r="AA53" s="551"/>
      <c r="AB53" s="551"/>
      <c r="AC53" s="551"/>
      <c r="AD53" s="552"/>
    </row>
    <row r="54" spans="1:51" ht="76.5" customHeight="1" x14ac:dyDescent="0.25">
      <c r="A54" s="555" t="s">
        <v>103</v>
      </c>
      <c r="B54" s="553">
        <v>0.02</v>
      </c>
      <c r="C54" s="159" t="s">
        <v>63</v>
      </c>
      <c r="D54" s="160">
        <v>0</v>
      </c>
      <c r="E54" s="160">
        <v>0</v>
      </c>
      <c r="F54" s="160">
        <v>0</v>
      </c>
      <c r="G54" s="160">
        <v>0.1</v>
      </c>
      <c r="H54" s="160">
        <v>0.1</v>
      </c>
      <c r="I54" s="160">
        <v>0.2</v>
      </c>
      <c r="J54" s="160">
        <v>0.2</v>
      </c>
      <c r="K54" s="160">
        <v>0.1</v>
      </c>
      <c r="L54" s="160">
        <v>0.1</v>
      </c>
      <c r="M54" s="160">
        <v>0.2</v>
      </c>
      <c r="N54" s="160">
        <v>0</v>
      </c>
      <c r="O54" s="160">
        <v>0</v>
      </c>
      <c r="P54" s="161">
        <f t="shared" si="4"/>
        <v>1</v>
      </c>
      <c r="Q54" s="547" t="s">
        <v>550</v>
      </c>
      <c r="R54" s="548"/>
      <c r="S54" s="548"/>
      <c r="T54" s="548"/>
      <c r="U54" s="548"/>
      <c r="V54" s="548"/>
      <c r="W54" s="548"/>
      <c r="X54" s="548"/>
      <c r="Y54" s="548"/>
      <c r="Z54" s="548"/>
      <c r="AA54" s="548"/>
      <c r="AB54" s="548"/>
      <c r="AC54" s="548"/>
      <c r="AD54" s="549"/>
    </row>
    <row r="55" spans="1:51" ht="76.5" customHeight="1" x14ac:dyDescent="0.25">
      <c r="A55" s="396"/>
      <c r="B55" s="553"/>
      <c r="C55" s="162" t="s">
        <v>64</v>
      </c>
      <c r="D55" s="163">
        <v>0</v>
      </c>
      <c r="E55" s="163">
        <v>0.05</v>
      </c>
      <c r="F55" s="163">
        <v>0.05</v>
      </c>
      <c r="G55" s="163">
        <v>0.1</v>
      </c>
      <c r="H55" s="163">
        <v>0.1</v>
      </c>
      <c r="I55" s="163">
        <v>0.1</v>
      </c>
      <c r="J55" s="163">
        <v>0.2</v>
      </c>
      <c r="K55" s="292">
        <v>0.1</v>
      </c>
      <c r="L55" s="163">
        <v>0.1</v>
      </c>
      <c r="M55" s="163">
        <v>0.2</v>
      </c>
      <c r="N55" s="292">
        <f>15%-15%</f>
        <v>0</v>
      </c>
      <c r="O55" s="104">
        <v>0</v>
      </c>
      <c r="P55" s="164">
        <f t="shared" si="4"/>
        <v>1</v>
      </c>
      <c r="Q55" s="550"/>
      <c r="R55" s="551"/>
      <c r="S55" s="551"/>
      <c r="T55" s="551"/>
      <c r="U55" s="551"/>
      <c r="V55" s="551"/>
      <c r="W55" s="551"/>
      <c r="X55" s="551"/>
      <c r="Y55" s="551"/>
      <c r="Z55" s="551"/>
      <c r="AA55" s="551"/>
      <c r="AB55" s="551"/>
      <c r="AC55" s="551"/>
      <c r="AD55" s="552"/>
    </row>
    <row r="56" spans="1:51" ht="45.75" customHeight="1" x14ac:dyDescent="0.25">
      <c r="A56" s="556" t="s">
        <v>104</v>
      </c>
      <c r="B56" s="553">
        <v>0.02</v>
      </c>
      <c r="C56" s="165" t="s">
        <v>63</v>
      </c>
      <c r="D56" s="323">
        <v>0</v>
      </c>
      <c r="E56" s="323">
        <v>0.05</v>
      </c>
      <c r="F56" s="323">
        <v>0</v>
      </c>
      <c r="G56" s="323">
        <v>0.05</v>
      </c>
      <c r="H56" s="166">
        <v>0</v>
      </c>
      <c r="I56" s="160">
        <v>0.2</v>
      </c>
      <c r="J56" s="160">
        <v>0.2</v>
      </c>
      <c r="K56" s="160">
        <v>0.15</v>
      </c>
      <c r="L56" s="160">
        <v>0.2</v>
      </c>
      <c r="M56" s="160">
        <v>0.15</v>
      </c>
      <c r="N56" s="160">
        <v>0</v>
      </c>
      <c r="O56" s="160">
        <v>0</v>
      </c>
      <c r="P56" s="161">
        <f t="shared" si="4"/>
        <v>1</v>
      </c>
      <c r="Q56" s="547" t="s">
        <v>586</v>
      </c>
      <c r="R56" s="558"/>
      <c r="S56" s="558"/>
      <c r="T56" s="558"/>
      <c r="U56" s="558"/>
      <c r="V56" s="558"/>
      <c r="W56" s="558"/>
      <c r="X56" s="558"/>
      <c r="Y56" s="558"/>
      <c r="Z56" s="558"/>
      <c r="AA56" s="558"/>
      <c r="AB56" s="558"/>
      <c r="AC56" s="558"/>
      <c r="AD56" s="559"/>
    </row>
    <row r="57" spans="1:51" ht="45.75" customHeight="1" thickBot="1" x14ac:dyDescent="0.3">
      <c r="A57" s="557"/>
      <c r="B57" s="554"/>
      <c r="C57" s="167" t="s">
        <v>64</v>
      </c>
      <c r="D57" s="168">
        <v>0</v>
      </c>
      <c r="E57" s="168">
        <v>0.05</v>
      </c>
      <c r="F57" s="168">
        <v>0.05</v>
      </c>
      <c r="G57" s="168">
        <v>0.05</v>
      </c>
      <c r="H57" s="169">
        <v>0.05</v>
      </c>
      <c r="I57" s="170">
        <v>0.2</v>
      </c>
      <c r="J57" s="170">
        <v>0.1</v>
      </c>
      <c r="K57" s="293">
        <v>0.1</v>
      </c>
      <c r="L57" s="170">
        <v>0.1</v>
      </c>
      <c r="M57" s="170">
        <v>0.1</v>
      </c>
      <c r="N57" s="170">
        <v>0.15</v>
      </c>
      <c r="O57" s="106">
        <v>0.05</v>
      </c>
      <c r="P57" s="171">
        <f>SUM(D57:O57)</f>
        <v>1</v>
      </c>
      <c r="Q57" s="560"/>
      <c r="R57" s="561"/>
      <c r="S57" s="561"/>
      <c r="T57" s="561"/>
      <c r="U57" s="561"/>
      <c r="V57" s="561"/>
      <c r="W57" s="561"/>
      <c r="X57" s="561"/>
      <c r="Y57" s="561"/>
      <c r="Z57" s="561"/>
      <c r="AA57" s="561"/>
      <c r="AB57" s="561"/>
      <c r="AC57" s="561"/>
      <c r="AD57" s="562"/>
    </row>
    <row r="59" spans="1:51" ht="34.5" customHeight="1" x14ac:dyDescent="0.25"/>
    <row r="61" spans="1:51" s="250" customFormat="1" ht="21.75" customHeight="1" x14ac:dyDescent="0.25">
      <c r="A61" s="382" t="s">
        <v>92</v>
      </c>
      <c r="B61" s="382" t="s">
        <v>66</v>
      </c>
      <c r="C61" s="370" t="s">
        <v>67</v>
      </c>
      <c r="D61" s="371"/>
      <c r="E61" s="371"/>
      <c r="F61" s="371"/>
      <c r="G61" s="371"/>
      <c r="H61" s="371"/>
      <c r="I61" s="371"/>
      <c r="J61" s="371"/>
      <c r="K61" s="371"/>
      <c r="L61" s="371"/>
      <c r="M61" s="371"/>
      <c r="N61" s="371"/>
      <c r="O61" s="371"/>
      <c r="P61" s="372"/>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5"/>
      <c r="AY61" s="205"/>
    </row>
    <row r="62" spans="1:51" s="250" customFormat="1" ht="21.75" customHeight="1" x14ac:dyDescent="0.25">
      <c r="A62" s="383"/>
      <c r="B62" s="383"/>
      <c r="C62" s="190" t="s">
        <v>69</v>
      </c>
      <c r="D62" s="190" t="s">
        <v>70</v>
      </c>
      <c r="E62" s="190" t="s">
        <v>71</v>
      </c>
      <c r="F62" s="190" t="s">
        <v>72</v>
      </c>
      <c r="G62" s="190" t="s">
        <v>73</v>
      </c>
      <c r="H62" s="190" t="s">
        <v>74</v>
      </c>
      <c r="I62" s="190" t="s">
        <v>75</v>
      </c>
      <c r="J62" s="190" t="s">
        <v>76</v>
      </c>
      <c r="K62" s="190" t="s">
        <v>77</v>
      </c>
      <c r="L62" s="190" t="s">
        <v>78</v>
      </c>
      <c r="M62" s="190" t="s">
        <v>79</v>
      </c>
      <c r="N62" s="190" t="s">
        <v>80</v>
      </c>
      <c r="O62" s="190" t="s">
        <v>81</v>
      </c>
      <c r="P62" s="190" t="s">
        <v>82</v>
      </c>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205"/>
      <c r="AN62" s="205"/>
      <c r="AO62" s="205"/>
      <c r="AP62" s="205"/>
      <c r="AQ62" s="205"/>
      <c r="AR62" s="205"/>
      <c r="AS62" s="205"/>
      <c r="AT62" s="205"/>
      <c r="AU62" s="205"/>
      <c r="AV62" s="205"/>
      <c r="AW62" s="205"/>
      <c r="AX62" s="205"/>
      <c r="AY62" s="205"/>
    </row>
    <row r="63" spans="1:51" s="250" customFormat="1" ht="12.75" customHeight="1" x14ac:dyDescent="0.25">
      <c r="A63" s="373" t="str">
        <f>A38</f>
        <v xml:space="preserve">8. Realizar semilleros de empoderamiento dirigidos a niñas, adolescentes y mujeres jóvenes. </v>
      </c>
      <c r="B63" s="545">
        <f>B38</f>
        <v>0.02</v>
      </c>
      <c r="C63" s="191" t="s">
        <v>63</v>
      </c>
      <c r="D63" s="222">
        <f>D38*$B$38/$P$38</f>
        <v>0</v>
      </c>
      <c r="E63" s="222">
        <f t="shared" ref="E63:O64" si="5">E38*$B$38/$P$38</f>
        <v>0</v>
      </c>
      <c r="F63" s="222">
        <f t="shared" si="5"/>
        <v>0</v>
      </c>
      <c r="G63" s="222">
        <f t="shared" si="5"/>
        <v>0</v>
      </c>
      <c r="H63" s="222">
        <f t="shared" si="5"/>
        <v>1E-3</v>
      </c>
      <c r="I63" s="222">
        <f t="shared" si="5"/>
        <v>1E-3</v>
      </c>
      <c r="J63" s="222">
        <f t="shared" si="5"/>
        <v>1E-3</v>
      </c>
      <c r="K63" s="222">
        <f t="shared" si="5"/>
        <v>4.0000000000000001E-3</v>
      </c>
      <c r="L63" s="222">
        <f t="shared" si="5"/>
        <v>4.0000000000000001E-3</v>
      </c>
      <c r="M63" s="222">
        <f t="shared" si="5"/>
        <v>4.0000000000000001E-3</v>
      </c>
      <c r="N63" s="222">
        <f t="shared" si="5"/>
        <v>4.0000000000000001E-3</v>
      </c>
      <c r="O63" s="222">
        <f t="shared" si="5"/>
        <v>1E-3</v>
      </c>
      <c r="P63" s="223">
        <f t="shared" ref="P63:P66" si="6">SUM(D63:O63)</f>
        <v>0.02</v>
      </c>
      <c r="Q63" s="108"/>
      <c r="R63" s="224"/>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05"/>
      <c r="AR63" s="205"/>
      <c r="AS63" s="205"/>
      <c r="AT63" s="205"/>
      <c r="AU63" s="205"/>
      <c r="AV63" s="205"/>
      <c r="AW63" s="205"/>
      <c r="AX63" s="205"/>
      <c r="AY63" s="205"/>
    </row>
    <row r="64" spans="1:51" s="250" customFormat="1" ht="12.75" customHeight="1" x14ac:dyDescent="0.25">
      <c r="A64" s="374"/>
      <c r="B64" s="546"/>
      <c r="C64" s="196" t="s">
        <v>64</v>
      </c>
      <c r="D64" s="226">
        <f>D39*$B$38/$P$38</f>
        <v>0</v>
      </c>
      <c r="E64" s="226">
        <f t="shared" si="5"/>
        <v>0</v>
      </c>
      <c r="F64" s="226">
        <f t="shared" si="5"/>
        <v>0</v>
      </c>
      <c r="G64" s="226">
        <f t="shared" si="5"/>
        <v>0</v>
      </c>
      <c r="H64" s="226">
        <f t="shared" si="5"/>
        <v>1E-3</v>
      </c>
      <c r="I64" s="226">
        <f t="shared" si="5"/>
        <v>1E-3</v>
      </c>
      <c r="J64" s="226">
        <f t="shared" si="5"/>
        <v>1E-3</v>
      </c>
      <c r="K64" s="226">
        <f t="shared" si="5"/>
        <v>1E-3</v>
      </c>
      <c r="L64" s="226">
        <f t="shared" si="5"/>
        <v>2E-3</v>
      </c>
      <c r="M64" s="226">
        <f t="shared" si="5"/>
        <v>4.0000000000000001E-3</v>
      </c>
      <c r="N64" s="226">
        <f t="shared" si="5"/>
        <v>4.0000000000000001E-3</v>
      </c>
      <c r="O64" s="226">
        <f t="shared" si="5"/>
        <v>6.0000000000000001E-3</v>
      </c>
      <c r="P64" s="227">
        <f t="shared" si="6"/>
        <v>0.02</v>
      </c>
      <c r="Q64" s="228"/>
      <c r="R64" s="224"/>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05"/>
      <c r="AR64" s="205"/>
      <c r="AS64" s="205"/>
      <c r="AT64" s="205"/>
      <c r="AU64" s="205"/>
      <c r="AV64" s="205"/>
      <c r="AW64" s="205"/>
      <c r="AX64" s="205"/>
      <c r="AY64" s="205"/>
    </row>
    <row r="65" spans="1:51" s="250" customFormat="1" ht="12.75" customHeight="1" x14ac:dyDescent="0.25">
      <c r="A65" s="373" t="str">
        <f t="shared" ref="A65:B65" si="7">A40</f>
        <v>9. Desarrollar acciones de empoderamiento dirigidas a niñas, adolescentes y mujeres jóvenes.</v>
      </c>
      <c r="B65" s="545">
        <f t="shared" si="7"/>
        <v>0.02</v>
      </c>
      <c r="C65" s="191" t="s">
        <v>63</v>
      </c>
      <c r="D65" s="222">
        <f>D40*$B$40/$P$40</f>
        <v>0</v>
      </c>
      <c r="E65" s="222">
        <f t="shared" ref="E65:O66" si="8">E40*$B$40/$P$40</f>
        <v>4.0000000000000002E-4</v>
      </c>
      <c r="F65" s="222">
        <f t="shared" si="8"/>
        <v>2E-3</v>
      </c>
      <c r="G65" s="222">
        <f t="shared" si="8"/>
        <v>8.0000000000000004E-4</v>
      </c>
      <c r="H65" s="222">
        <f t="shared" si="8"/>
        <v>4.0000000000000002E-4</v>
      </c>
      <c r="I65" s="222">
        <f t="shared" si="8"/>
        <v>2E-3</v>
      </c>
      <c r="J65" s="222">
        <f t="shared" si="8"/>
        <v>2E-3</v>
      </c>
      <c r="K65" s="222">
        <f t="shared" si="8"/>
        <v>2E-3</v>
      </c>
      <c r="L65" s="222">
        <f t="shared" si="8"/>
        <v>2E-3</v>
      </c>
      <c r="M65" s="222">
        <f t="shared" si="8"/>
        <v>4.0000000000000001E-3</v>
      </c>
      <c r="N65" s="222">
        <f t="shared" si="8"/>
        <v>4.0000000000000001E-3</v>
      </c>
      <c r="O65" s="222">
        <f t="shared" si="8"/>
        <v>4.0000000000000002E-4</v>
      </c>
      <c r="P65" s="223">
        <f t="shared" si="6"/>
        <v>0.02</v>
      </c>
      <c r="Q65" s="108"/>
      <c r="R65" s="224"/>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05"/>
      <c r="AR65" s="205"/>
      <c r="AS65" s="205"/>
      <c r="AT65" s="205"/>
      <c r="AU65" s="205"/>
      <c r="AV65" s="205"/>
      <c r="AW65" s="205"/>
      <c r="AX65" s="205"/>
      <c r="AY65" s="205"/>
    </row>
    <row r="66" spans="1:51" s="250" customFormat="1" ht="12.75" customHeight="1" x14ac:dyDescent="0.25">
      <c r="A66" s="374"/>
      <c r="B66" s="546"/>
      <c r="C66" s="196" t="s">
        <v>64</v>
      </c>
      <c r="D66" s="226">
        <f>D41*$B$40/$P$40</f>
        <v>0</v>
      </c>
      <c r="E66" s="226">
        <f t="shared" si="8"/>
        <v>4.0000000000000002E-4</v>
      </c>
      <c r="F66" s="226">
        <f t="shared" si="8"/>
        <v>2E-3</v>
      </c>
      <c r="G66" s="226">
        <f t="shared" si="8"/>
        <v>8.0000000000000004E-4</v>
      </c>
      <c r="H66" s="226">
        <f t="shared" si="8"/>
        <v>4.0000000000000002E-4</v>
      </c>
      <c r="I66" s="226">
        <f t="shared" si="8"/>
        <v>2E-3</v>
      </c>
      <c r="J66" s="226">
        <f t="shared" si="8"/>
        <v>2E-3</v>
      </c>
      <c r="K66" s="226">
        <f t="shared" si="8"/>
        <v>2E-3</v>
      </c>
      <c r="L66" s="226">
        <f t="shared" si="8"/>
        <v>2E-3</v>
      </c>
      <c r="M66" s="226">
        <f t="shared" si="8"/>
        <v>4.0000000000000001E-3</v>
      </c>
      <c r="N66" s="226">
        <f t="shared" si="8"/>
        <v>4.0000000000000001E-3</v>
      </c>
      <c r="O66" s="226">
        <f t="shared" si="8"/>
        <v>4.0000000000000002E-4</v>
      </c>
      <c r="P66" s="227">
        <f t="shared" si="6"/>
        <v>0.02</v>
      </c>
      <c r="Q66" s="228"/>
      <c r="R66" s="224"/>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05"/>
      <c r="AR66" s="205"/>
      <c r="AS66" s="205"/>
      <c r="AT66" s="205"/>
      <c r="AU66" s="205"/>
      <c r="AV66" s="205"/>
      <c r="AW66" s="205"/>
      <c r="AX66" s="205"/>
      <c r="AY66" s="205"/>
    </row>
    <row r="67" spans="1:51" s="250" customFormat="1" ht="12.75" customHeight="1" x14ac:dyDescent="0.25">
      <c r="A67" s="373" t="str">
        <f t="shared" ref="A67:B67" si="9">A42</f>
        <v>10. Fortalecer redes protectoras con madres, padres, cuidadoras, cuidadores y profesionales que en el marco de sus acciones trabajan con niñas, niños y adolescentes para la identificación, prevención y actuación frente a las violencias y formas de discriminación basadas en género contra niños, niñas y adolescentes.</v>
      </c>
      <c r="B67" s="545">
        <f t="shared" si="9"/>
        <v>0.02</v>
      </c>
      <c r="C67" s="191" t="s">
        <v>63</v>
      </c>
      <c r="D67" s="222">
        <f>D42*$B$42/$P$42</f>
        <v>0</v>
      </c>
      <c r="E67" s="222">
        <f t="shared" ref="E67:O68" si="10">E42*$B$42/$P$42</f>
        <v>4.0000000000000007E-4</v>
      </c>
      <c r="F67" s="222">
        <f t="shared" si="10"/>
        <v>1.6000000000000003E-3</v>
      </c>
      <c r="G67" s="222">
        <f t="shared" si="10"/>
        <v>2.0000000000000005E-3</v>
      </c>
      <c r="H67" s="222">
        <f t="shared" si="10"/>
        <v>2.0000000000000005E-3</v>
      </c>
      <c r="I67" s="222">
        <f t="shared" si="10"/>
        <v>2.0000000000000005E-3</v>
      </c>
      <c r="J67" s="222">
        <f t="shared" si="10"/>
        <v>2.0000000000000005E-3</v>
      </c>
      <c r="K67" s="222">
        <f t="shared" si="10"/>
        <v>2.0000000000000005E-3</v>
      </c>
      <c r="L67" s="222">
        <f t="shared" si="10"/>
        <v>2.0000000000000005E-3</v>
      </c>
      <c r="M67" s="222">
        <f t="shared" si="10"/>
        <v>2.0000000000000005E-3</v>
      </c>
      <c r="N67" s="222">
        <f t="shared" si="10"/>
        <v>2.0000000000000005E-3</v>
      </c>
      <c r="O67" s="222">
        <f t="shared" si="10"/>
        <v>2.0000000000000005E-3</v>
      </c>
      <c r="P67" s="223">
        <f t="shared" ref="P67:P70" si="11">SUM(D67:O67)</f>
        <v>2.0000000000000007E-2</v>
      </c>
      <c r="Q67" s="108"/>
      <c r="R67" s="224"/>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05"/>
      <c r="AR67" s="205"/>
      <c r="AS67" s="205"/>
      <c r="AT67" s="205"/>
      <c r="AU67" s="205"/>
      <c r="AV67" s="205"/>
      <c r="AW67" s="205"/>
      <c r="AX67" s="205"/>
      <c r="AY67" s="205"/>
    </row>
    <row r="68" spans="1:51" s="250" customFormat="1" ht="12.75" customHeight="1" x14ac:dyDescent="0.25">
      <c r="A68" s="374"/>
      <c r="B68" s="546"/>
      <c r="C68" s="196" t="s">
        <v>64</v>
      </c>
      <c r="D68" s="226">
        <f>D43*$B$42/$P$42</f>
        <v>0</v>
      </c>
      <c r="E68" s="226">
        <f t="shared" si="10"/>
        <v>4.0000000000000007E-4</v>
      </c>
      <c r="F68" s="226">
        <f t="shared" si="10"/>
        <v>1.6000000000000003E-3</v>
      </c>
      <c r="G68" s="226">
        <f t="shared" si="10"/>
        <v>2.0000000000000005E-3</v>
      </c>
      <c r="H68" s="226">
        <f t="shared" si="10"/>
        <v>2.0000000000000005E-3</v>
      </c>
      <c r="I68" s="226">
        <f t="shared" si="10"/>
        <v>2.0000000000000005E-3</v>
      </c>
      <c r="J68" s="226">
        <f t="shared" si="10"/>
        <v>2.0000000000000005E-3</v>
      </c>
      <c r="K68" s="226">
        <f t="shared" si="10"/>
        <v>2.0000000000000005E-3</v>
      </c>
      <c r="L68" s="226">
        <f t="shared" si="10"/>
        <v>2.0000000000000005E-3</v>
      </c>
      <c r="M68" s="226">
        <f t="shared" si="10"/>
        <v>2.0000000000000005E-3</v>
      </c>
      <c r="N68" s="226">
        <f t="shared" si="10"/>
        <v>2.0000000000000005E-3</v>
      </c>
      <c r="O68" s="226">
        <f t="shared" si="10"/>
        <v>2.0000000000000005E-3</v>
      </c>
      <c r="P68" s="227">
        <f t="shared" si="11"/>
        <v>2.0000000000000007E-2</v>
      </c>
      <c r="Q68" s="228"/>
      <c r="R68" s="224"/>
      <c r="S68" s="225"/>
      <c r="T68" s="225"/>
      <c r="U68" s="225"/>
      <c r="V68" s="225"/>
      <c r="W68" s="225"/>
      <c r="X68" s="225"/>
      <c r="Y68" s="225"/>
      <c r="Z68" s="225"/>
      <c r="AA68" s="225"/>
      <c r="AB68" s="225"/>
      <c r="AC68" s="225"/>
      <c r="AD68" s="225"/>
      <c r="AE68" s="225"/>
      <c r="AF68" s="225"/>
      <c r="AG68" s="225"/>
      <c r="AH68" s="225"/>
      <c r="AI68" s="225"/>
      <c r="AJ68" s="225"/>
      <c r="AK68" s="225"/>
      <c r="AL68" s="225"/>
      <c r="AM68" s="225"/>
      <c r="AN68" s="225"/>
      <c r="AO68" s="225"/>
      <c r="AP68" s="225"/>
      <c r="AQ68" s="205"/>
      <c r="AR68" s="205"/>
      <c r="AS68" s="205"/>
      <c r="AT68" s="205"/>
      <c r="AU68" s="205"/>
      <c r="AV68" s="205"/>
      <c r="AW68" s="205"/>
      <c r="AX68" s="205"/>
      <c r="AY68" s="205"/>
    </row>
    <row r="69" spans="1:51" s="250" customFormat="1" ht="12.75" customHeight="1" x14ac:dyDescent="0.25">
      <c r="A69" s="373" t="str">
        <f t="shared" ref="A69:B69" si="12">A44</f>
        <v>11. Desarrollar escuelas de educación emocional enfocadas en fortalecer capacidades y herramientas para gestionar la salud mental de las mujeres en su diversidad en la ciudad de Bogotá.</v>
      </c>
      <c r="B69" s="545">
        <f t="shared" si="12"/>
        <v>0.02</v>
      </c>
      <c r="C69" s="191" t="s">
        <v>63</v>
      </c>
      <c r="D69" s="222">
        <f>D44*$B$44/$P$44</f>
        <v>0</v>
      </c>
      <c r="E69" s="222">
        <f t="shared" ref="E69:O70" si="13">E44*$B$44/$P$44</f>
        <v>1E-3</v>
      </c>
      <c r="F69" s="222">
        <f t="shared" si="13"/>
        <v>1E-3</v>
      </c>
      <c r="G69" s="222">
        <f t="shared" si="13"/>
        <v>1E-3</v>
      </c>
      <c r="H69" s="222">
        <f t="shared" si="13"/>
        <v>1E-3</v>
      </c>
      <c r="I69" s="222">
        <f t="shared" si="13"/>
        <v>1E-3</v>
      </c>
      <c r="J69" s="222">
        <f t="shared" si="13"/>
        <v>1E-3</v>
      </c>
      <c r="K69" s="222">
        <f t="shared" si="13"/>
        <v>2E-3</v>
      </c>
      <c r="L69" s="222">
        <f t="shared" si="13"/>
        <v>2E-3</v>
      </c>
      <c r="M69" s="222">
        <f t="shared" si="13"/>
        <v>2E-3</v>
      </c>
      <c r="N69" s="222">
        <f t="shared" si="13"/>
        <v>4.0000000000000001E-3</v>
      </c>
      <c r="O69" s="222">
        <f t="shared" si="13"/>
        <v>4.0000000000000001E-3</v>
      </c>
      <c r="P69" s="223">
        <f t="shared" si="11"/>
        <v>0.02</v>
      </c>
      <c r="Q69" s="108"/>
      <c r="R69" s="224"/>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05"/>
      <c r="AR69" s="205"/>
      <c r="AS69" s="205"/>
      <c r="AT69" s="205"/>
      <c r="AU69" s="205"/>
      <c r="AV69" s="205"/>
      <c r="AW69" s="205"/>
      <c r="AX69" s="205"/>
      <c r="AY69" s="205"/>
    </row>
    <row r="70" spans="1:51" s="250" customFormat="1" ht="12.75" customHeight="1" x14ac:dyDescent="0.25">
      <c r="A70" s="374"/>
      <c r="B70" s="546"/>
      <c r="C70" s="196" t="s">
        <v>64</v>
      </c>
      <c r="D70" s="226">
        <f>D45*$B$44/$P$44</f>
        <v>0</v>
      </c>
      <c r="E70" s="226">
        <f t="shared" si="13"/>
        <v>1E-3</v>
      </c>
      <c r="F70" s="226">
        <f t="shared" si="13"/>
        <v>1E-3</v>
      </c>
      <c r="G70" s="226">
        <f t="shared" si="13"/>
        <v>1E-3</v>
      </c>
      <c r="H70" s="226">
        <f t="shared" si="13"/>
        <v>3.0000000000000001E-3</v>
      </c>
      <c r="I70" s="226">
        <f t="shared" si="13"/>
        <v>1E-3</v>
      </c>
      <c r="J70" s="226">
        <f t="shared" si="13"/>
        <v>1E-3</v>
      </c>
      <c r="K70" s="226">
        <f t="shared" si="13"/>
        <v>2E-3</v>
      </c>
      <c r="L70" s="226">
        <f t="shared" si="13"/>
        <v>2E-3</v>
      </c>
      <c r="M70" s="226">
        <f t="shared" si="13"/>
        <v>4.0000000000000001E-3</v>
      </c>
      <c r="N70" s="226">
        <f t="shared" si="13"/>
        <v>4.0000000000000001E-3</v>
      </c>
      <c r="O70" s="226">
        <f t="shared" si="13"/>
        <v>0</v>
      </c>
      <c r="P70" s="227">
        <f t="shared" si="11"/>
        <v>0.02</v>
      </c>
      <c r="Q70" s="228"/>
      <c r="R70" s="224"/>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05"/>
      <c r="AR70" s="205"/>
      <c r="AS70" s="205"/>
      <c r="AT70" s="205"/>
      <c r="AU70" s="205"/>
      <c r="AV70" s="205"/>
      <c r="AW70" s="205"/>
      <c r="AX70" s="205"/>
      <c r="AY70" s="205"/>
    </row>
    <row r="71" spans="1:51" s="250" customFormat="1" ht="12.75" customHeight="1" x14ac:dyDescent="0.25">
      <c r="A71" s="373" t="str">
        <f t="shared" ref="A71:B71" si="14">A46</f>
        <v>12. Desarrollar espacios de encuentro de mujeres para el cuidado emocional denominados Espacios Respiro.</v>
      </c>
      <c r="B71" s="545">
        <f t="shared" si="14"/>
        <v>0.02</v>
      </c>
      <c r="C71" s="191" t="s">
        <v>63</v>
      </c>
      <c r="D71" s="222">
        <f>D46*$B$46/$P$46</f>
        <v>0</v>
      </c>
      <c r="E71" s="222">
        <f t="shared" ref="E71:O72" si="15">E46*$B$46/$P$46</f>
        <v>1E-3</v>
      </c>
      <c r="F71" s="222">
        <f t="shared" si="15"/>
        <v>1E-3</v>
      </c>
      <c r="G71" s="222">
        <f t="shared" si="15"/>
        <v>2E-3</v>
      </c>
      <c r="H71" s="222">
        <f t="shared" si="15"/>
        <v>2E-3</v>
      </c>
      <c r="I71" s="222">
        <f t="shared" si="15"/>
        <v>2E-3</v>
      </c>
      <c r="J71" s="222">
        <f t="shared" si="15"/>
        <v>2E-3</v>
      </c>
      <c r="K71" s="222">
        <f t="shared" si="15"/>
        <v>2E-3</v>
      </c>
      <c r="L71" s="222">
        <f t="shared" si="15"/>
        <v>2E-3</v>
      </c>
      <c r="M71" s="222">
        <f t="shared" si="15"/>
        <v>2E-3</v>
      </c>
      <c r="N71" s="222">
        <f t="shared" si="15"/>
        <v>2E-3</v>
      </c>
      <c r="O71" s="222">
        <f t="shared" si="15"/>
        <v>2E-3</v>
      </c>
      <c r="P71" s="223">
        <f t="shared" ref="P71:P76" si="16">SUM(D71:O71)</f>
        <v>2.0000000000000004E-2</v>
      </c>
      <c r="Q71" s="108"/>
      <c r="R71" s="224"/>
      <c r="S71" s="225"/>
      <c r="T71" s="225"/>
      <c r="U71" s="225"/>
      <c r="V71" s="225"/>
      <c r="W71" s="225"/>
      <c r="X71" s="225"/>
      <c r="Y71" s="225"/>
      <c r="Z71" s="225"/>
      <c r="AA71" s="225"/>
      <c r="AB71" s="225"/>
      <c r="AC71" s="225"/>
      <c r="AD71" s="225"/>
      <c r="AE71" s="225"/>
      <c r="AF71" s="225"/>
      <c r="AG71" s="225"/>
      <c r="AH71" s="225"/>
      <c r="AI71" s="225"/>
      <c r="AJ71" s="225"/>
      <c r="AK71" s="225"/>
      <c r="AL71" s="225"/>
      <c r="AM71" s="225"/>
      <c r="AN71" s="225"/>
      <c r="AO71" s="225"/>
      <c r="AP71" s="225"/>
      <c r="AQ71" s="205"/>
      <c r="AR71" s="205"/>
      <c r="AS71" s="205"/>
      <c r="AT71" s="205"/>
      <c r="AU71" s="205"/>
      <c r="AV71" s="205"/>
      <c r="AW71" s="205"/>
      <c r="AX71" s="205"/>
      <c r="AY71" s="205"/>
    </row>
    <row r="72" spans="1:51" s="250" customFormat="1" ht="12.75" customHeight="1" x14ac:dyDescent="0.25">
      <c r="A72" s="374"/>
      <c r="B72" s="546"/>
      <c r="C72" s="196" t="s">
        <v>64</v>
      </c>
      <c r="D72" s="226">
        <f>D47*$B$46/$P$46</f>
        <v>0</v>
      </c>
      <c r="E72" s="226">
        <f t="shared" si="15"/>
        <v>1E-3</v>
      </c>
      <c r="F72" s="226">
        <f t="shared" si="15"/>
        <v>1.4000000000000002E-3</v>
      </c>
      <c r="G72" s="226">
        <f t="shared" si="15"/>
        <v>1.4000000000000002E-3</v>
      </c>
      <c r="H72" s="226">
        <f t="shared" si="15"/>
        <v>2E-3</v>
      </c>
      <c r="I72" s="226">
        <f t="shared" si="15"/>
        <v>2E-3</v>
      </c>
      <c r="J72" s="226">
        <f t="shared" si="15"/>
        <v>2E-3</v>
      </c>
      <c r="K72" s="226">
        <f t="shared" si="15"/>
        <v>2E-3</v>
      </c>
      <c r="L72" s="226">
        <f t="shared" si="15"/>
        <v>2.2000000000000001E-3</v>
      </c>
      <c r="M72" s="226">
        <f t="shared" si="15"/>
        <v>3.0000000000000001E-3</v>
      </c>
      <c r="N72" s="226">
        <f t="shared" si="15"/>
        <v>3.0000000000000001E-3</v>
      </c>
      <c r="O72" s="226">
        <f t="shared" si="15"/>
        <v>0</v>
      </c>
      <c r="P72" s="227">
        <f t="shared" si="16"/>
        <v>0.02</v>
      </c>
      <c r="Q72" s="228"/>
      <c r="R72" s="224"/>
      <c r="S72" s="225"/>
      <c r="T72" s="225"/>
      <c r="U72" s="225"/>
      <c r="V72" s="225"/>
      <c r="W72" s="225"/>
      <c r="X72" s="225"/>
      <c r="Y72" s="225"/>
      <c r="Z72" s="225"/>
      <c r="AA72" s="225"/>
      <c r="AB72" s="225"/>
      <c r="AC72" s="225"/>
      <c r="AD72" s="225"/>
      <c r="AE72" s="225"/>
      <c r="AF72" s="225"/>
      <c r="AG72" s="225"/>
      <c r="AH72" s="225"/>
      <c r="AI72" s="225"/>
      <c r="AJ72" s="225"/>
      <c r="AK72" s="225"/>
      <c r="AL72" s="225"/>
      <c r="AM72" s="225"/>
      <c r="AN72" s="225"/>
      <c r="AO72" s="225"/>
      <c r="AP72" s="225"/>
      <c r="AQ72" s="205"/>
      <c r="AR72" s="205"/>
      <c r="AS72" s="205"/>
      <c r="AT72" s="205"/>
      <c r="AU72" s="205"/>
      <c r="AV72" s="205"/>
      <c r="AW72" s="205"/>
      <c r="AX72" s="205"/>
      <c r="AY72" s="205"/>
    </row>
    <row r="73" spans="1:51" s="250" customFormat="1" ht="12.75" customHeight="1" x14ac:dyDescent="0.25">
      <c r="A73" s="373" t="str">
        <f t="shared" ref="A73:B73" si="17">A48</f>
        <v xml:space="preserve">13. Desarrollar un Curso virtual Fortalecimiento de Hábitos de autocuidado y herramientas para la atención y acompañamiento sensible con enfoque diferencial   para equipos de atención psicosocial de los diferentes sectores del Distrito </v>
      </c>
      <c r="B73" s="545">
        <f t="shared" si="17"/>
        <v>0.02</v>
      </c>
      <c r="C73" s="191" t="s">
        <v>63</v>
      </c>
      <c r="D73" s="222">
        <f>D48*$B$48/$P$48</f>
        <v>0</v>
      </c>
      <c r="E73" s="222">
        <f t="shared" ref="E73:O74" si="18">E48*$B$48/$P$48</f>
        <v>1E-3</v>
      </c>
      <c r="F73" s="222">
        <f t="shared" si="18"/>
        <v>1E-3</v>
      </c>
      <c r="G73" s="222">
        <f t="shared" si="18"/>
        <v>1E-3</v>
      </c>
      <c r="H73" s="222">
        <f t="shared" si="18"/>
        <v>1E-3</v>
      </c>
      <c r="I73" s="222">
        <f t="shared" si="18"/>
        <v>2E-3</v>
      </c>
      <c r="J73" s="222">
        <f t="shared" si="18"/>
        <v>2E-3</v>
      </c>
      <c r="K73" s="222">
        <f t="shared" si="18"/>
        <v>4.0000000000000001E-3</v>
      </c>
      <c r="L73" s="222">
        <f t="shared" si="18"/>
        <v>2E-3</v>
      </c>
      <c r="M73" s="222">
        <f t="shared" si="18"/>
        <v>2E-3</v>
      </c>
      <c r="N73" s="222">
        <f t="shared" si="18"/>
        <v>2E-3</v>
      </c>
      <c r="O73" s="222">
        <f t="shared" si="18"/>
        <v>2E-3</v>
      </c>
      <c r="P73" s="223">
        <f t="shared" si="16"/>
        <v>2.0000000000000004E-2</v>
      </c>
      <c r="Q73" s="108"/>
      <c r="R73" s="224"/>
      <c r="S73" s="225"/>
      <c r="T73" s="225"/>
      <c r="U73" s="225"/>
      <c r="V73" s="225"/>
      <c r="W73" s="225"/>
      <c r="X73" s="225"/>
      <c r="Y73" s="225"/>
      <c r="Z73" s="225"/>
      <c r="AA73" s="225"/>
      <c r="AB73" s="225"/>
      <c r="AC73" s="225"/>
      <c r="AD73" s="225"/>
      <c r="AE73" s="225"/>
      <c r="AF73" s="225"/>
      <c r="AG73" s="225"/>
      <c r="AH73" s="225"/>
      <c r="AI73" s="225"/>
      <c r="AJ73" s="225"/>
      <c r="AK73" s="225"/>
      <c r="AL73" s="225"/>
      <c r="AM73" s="225"/>
      <c r="AN73" s="225"/>
      <c r="AO73" s="225"/>
      <c r="AP73" s="225"/>
      <c r="AQ73" s="205"/>
      <c r="AR73" s="205"/>
      <c r="AS73" s="205"/>
      <c r="AT73" s="205"/>
      <c r="AU73" s="205"/>
      <c r="AV73" s="205"/>
      <c r="AW73" s="205"/>
      <c r="AX73" s="205"/>
      <c r="AY73" s="205"/>
    </row>
    <row r="74" spans="1:51" s="250" customFormat="1" ht="12.75" customHeight="1" x14ac:dyDescent="0.25">
      <c r="A74" s="374"/>
      <c r="B74" s="546"/>
      <c r="C74" s="196" t="s">
        <v>64</v>
      </c>
      <c r="D74" s="226">
        <f>D49*$B$48/$P$48</f>
        <v>0</v>
      </c>
      <c r="E74" s="226">
        <f t="shared" si="18"/>
        <v>0</v>
      </c>
      <c r="F74" s="226">
        <f t="shared" si="18"/>
        <v>0</v>
      </c>
      <c r="G74" s="226">
        <f t="shared" si="18"/>
        <v>5.9999999999999995E-4</v>
      </c>
      <c r="H74" s="226">
        <f t="shared" si="18"/>
        <v>0</v>
      </c>
      <c r="I74" s="226">
        <f t="shared" si="18"/>
        <v>1.6000000000000001E-3</v>
      </c>
      <c r="J74" s="226">
        <f t="shared" si="18"/>
        <v>0</v>
      </c>
      <c r="K74" s="226">
        <f t="shared" si="18"/>
        <v>0</v>
      </c>
      <c r="L74" s="226">
        <f t="shared" si="18"/>
        <v>3.0000000000000001E-3</v>
      </c>
      <c r="M74" s="226">
        <f t="shared" si="18"/>
        <v>6.0000000000000001E-3</v>
      </c>
      <c r="N74" s="226">
        <f t="shared" si="18"/>
        <v>8.0000000000000002E-3</v>
      </c>
      <c r="O74" s="226">
        <f t="shared" si="18"/>
        <v>8.0000000000000004E-4</v>
      </c>
      <c r="P74" s="227">
        <f t="shared" si="16"/>
        <v>0.02</v>
      </c>
      <c r="Q74" s="228"/>
      <c r="R74" s="224"/>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05"/>
      <c r="AR74" s="205"/>
      <c r="AS74" s="205"/>
      <c r="AT74" s="205"/>
      <c r="AU74" s="205"/>
      <c r="AV74" s="205"/>
      <c r="AW74" s="205"/>
      <c r="AX74" s="205"/>
      <c r="AY74" s="205"/>
    </row>
    <row r="75" spans="1:51" s="250" customFormat="1" ht="12.75" customHeight="1" x14ac:dyDescent="0.25">
      <c r="A75" s="373" t="str">
        <f t="shared" ref="A75:B75" si="19">A50</f>
        <v xml:space="preserve">14.   Implementar la Fase I y II de la EDCM . Espacios EMAA mujeres en sus diferencias y diversidad; hombres trans y personas no binarias. Jornadas de Dignidad Menstrual.  Fortalecimiento de capacidades y/o acompañamiento en EMAA a servidoras/servidores públicos del Distrito </v>
      </c>
      <c r="B75" s="545">
        <f t="shared" si="19"/>
        <v>0.02</v>
      </c>
      <c r="C75" s="191" t="s">
        <v>63</v>
      </c>
      <c r="D75" s="222">
        <f>D50*$B$50/$P$50</f>
        <v>0</v>
      </c>
      <c r="E75" s="222">
        <f t="shared" ref="E75:O76" si="20">E50*$B$50/$P$50</f>
        <v>1E-3</v>
      </c>
      <c r="F75" s="222">
        <f t="shared" si="20"/>
        <v>2E-3</v>
      </c>
      <c r="G75" s="222">
        <f t="shared" si="20"/>
        <v>3.0000000000000001E-3</v>
      </c>
      <c r="H75" s="222">
        <f t="shared" si="20"/>
        <v>2E-3</v>
      </c>
      <c r="I75" s="222">
        <f t="shared" si="20"/>
        <v>2E-3</v>
      </c>
      <c r="J75" s="222">
        <f t="shared" si="20"/>
        <v>3.0000000000000001E-3</v>
      </c>
      <c r="K75" s="222">
        <f t="shared" si="20"/>
        <v>2E-3</v>
      </c>
      <c r="L75" s="222">
        <f t="shared" si="20"/>
        <v>2E-3</v>
      </c>
      <c r="M75" s="222">
        <f t="shared" si="20"/>
        <v>2E-3</v>
      </c>
      <c r="N75" s="222">
        <f t="shared" si="20"/>
        <v>1E-3</v>
      </c>
      <c r="O75" s="222">
        <f t="shared" si="20"/>
        <v>0</v>
      </c>
      <c r="P75" s="223">
        <f t="shared" si="16"/>
        <v>2.0000000000000004E-2</v>
      </c>
      <c r="Q75" s="108"/>
      <c r="R75" s="224"/>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05"/>
      <c r="AR75" s="205"/>
      <c r="AS75" s="205"/>
      <c r="AT75" s="205"/>
      <c r="AU75" s="205"/>
      <c r="AV75" s="205"/>
      <c r="AW75" s="205"/>
      <c r="AX75" s="205"/>
      <c r="AY75" s="205"/>
    </row>
    <row r="76" spans="1:51" s="250" customFormat="1" ht="12.75" customHeight="1" x14ac:dyDescent="0.25">
      <c r="A76" s="374"/>
      <c r="B76" s="546"/>
      <c r="C76" s="196" t="s">
        <v>64</v>
      </c>
      <c r="D76" s="226">
        <f>D51*$B$50/$P$50</f>
        <v>0</v>
      </c>
      <c r="E76" s="226">
        <f t="shared" si="20"/>
        <v>1E-3</v>
      </c>
      <c r="F76" s="226">
        <f t="shared" si="20"/>
        <v>2E-3</v>
      </c>
      <c r="G76" s="226">
        <f t="shared" si="20"/>
        <v>4.0000000000000001E-3</v>
      </c>
      <c r="H76" s="226">
        <f t="shared" si="20"/>
        <v>2E-3</v>
      </c>
      <c r="I76" s="226">
        <f t="shared" si="20"/>
        <v>4.0000000000000001E-3</v>
      </c>
      <c r="J76" s="226">
        <f t="shared" si="20"/>
        <v>3.0000000000000001E-3</v>
      </c>
      <c r="K76" s="226">
        <f t="shared" si="20"/>
        <v>2E-3</v>
      </c>
      <c r="L76" s="226">
        <f t="shared" si="20"/>
        <v>2E-3</v>
      </c>
      <c r="M76" s="226">
        <f t="shared" si="20"/>
        <v>0</v>
      </c>
      <c r="N76" s="226">
        <f t="shared" si="20"/>
        <v>0</v>
      </c>
      <c r="O76" s="226">
        <f t="shared" si="20"/>
        <v>0</v>
      </c>
      <c r="P76" s="227">
        <f t="shared" si="16"/>
        <v>2.0000000000000004E-2</v>
      </c>
      <c r="Q76" s="228"/>
      <c r="R76" s="224"/>
      <c r="S76" s="225"/>
      <c r="T76" s="225"/>
      <c r="U76" s="225"/>
      <c r="V76" s="225"/>
      <c r="W76" s="225"/>
      <c r="X76" s="225"/>
      <c r="Y76" s="225"/>
      <c r="Z76" s="225"/>
      <c r="AA76" s="225"/>
      <c r="AB76" s="225"/>
      <c r="AC76" s="225"/>
      <c r="AD76" s="225"/>
      <c r="AE76" s="225"/>
      <c r="AF76" s="225"/>
      <c r="AG76" s="225"/>
      <c r="AH76" s="225"/>
      <c r="AI76" s="225"/>
      <c r="AJ76" s="225"/>
      <c r="AK76" s="225"/>
      <c r="AL76" s="225"/>
      <c r="AM76" s="225"/>
      <c r="AN76" s="225"/>
      <c r="AO76" s="225"/>
      <c r="AP76" s="225"/>
      <c r="AQ76" s="205"/>
      <c r="AR76" s="205"/>
      <c r="AS76" s="205"/>
      <c r="AT76" s="205"/>
      <c r="AU76" s="205"/>
      <c r="AV76" s="205"/>
      <c r="AW76" s="205"/>
      <c r="AX76" s="205"/>
      <c r="AY76" s="205"/>
    </row>
    <row r="77" spans="1:51" s="250" customFormat="1" ht="12.75" customHeight="1" x14ac:dyDescent="0.25">
      <c r="A77" s="373" t="str">
        <f t="shared" ref="A77:B77" si="21">A52</f>
        <v xml:space="preserve">15. Desarrollar la Mesa Interinstitucional e implementar Plan de Trabajo  </v>
      </c>
      <c r="B77" s="545">
        <f t="shared" si="21"/>
        <v>0.02</v>
      </c>
      <c r="C77" s="191" t="s">
        <v>63</v>
      </c>
      <c r="D77" s="222">
        <f>D52*$B$52/$P$52</f>
        <v>0</v>
      </c>
      <c r="E77" s="222">
        <f t="shared" ref="E77:O78" si="22">E52*$B$52/$P$52</f>
        <v>1.0000000000000002E-3</v>
      </c>
      <c r="F77" s="222">
        <f t="shared" si="22"/>
        <v>2.0000000000000005E-3</v>
      </c>
      <c r="G77" s="222">
        <f t="shared" si="22"/>
        <v>2.0000000000000005E-3</v>
      </c>
      <c r="H77" s="222">
        <f t="shared" si="22"/>
        <v>2.0000000000000005E-3</v>
      </c>
      <c r="I77" s="222">
        <f t="shared" si="22"/>
        <v>2.0000000000000005E-3</v>
      </c>
      <c r="J77" s="222">
        <f t="shared" si="22"/>
        <v>2.0000000000000005E-3</v>
      </c>
      <c r="K77" s="222">
        <f t="shared" si="22"/>
        <v>2.0000000000000005E-3</v>
      </c>
      <c r="L77" s="222">
        <f t="shared" si="22"/>
        <v>2.0000000000000005E-3</v>
      </c>
      <c r="M77" s="222">
        <f t="shared" si="22"/>
        <v>2.0000000000000005E-3</v>
      </c>
      <c r="N77" s="222">
        <f t="shared" si="22"/>
        <v>2.0000000000000005E-3</v>
      </c>
      <c r="O77" s="222">
        <f t="shared" si="22"/>
        <v>1.0000000000000002E-3</v>
      </c>
      <c r="P77" s="223">
        <f t="shared" ref="P77:P78" si="23">SUM(D77:O77)</f>
        <v>2.0000000000000004E-2</v>
      </c>
      <c r="Q77" s="108"/>
      <c r="R77" s="224"/>
      <c r="S77" s="225"/>
      <c r="T77" s="225"/>
      <c r="U77" s="225"/>
      <c r="V77" s="225"/>
      <c r="W77" s="225"/>
      <c r="X77" s="225"/>
      <c r="Y77" s="225"/>
      <c r="Z77" s="225"/>
      <c r="AA77" s="225"/>
      <c r="AB77" s="225"/>
      <c r="AC77" s="225"/>
      <c r="AD77" s="225"/>
      <c r="AE77" s="225"/>
      <c r="AF77" s="225"/>
      <c r="AG77" s="225"/>
      <c r="AH77" s="225"/>
      <c r="AI77" s="225"/>
      <c r="AJ77" s="225"/>
      <c r="AK77" s="225"/>
      <c r="AL77" s="225"/>
      <c r="AM77" s="225"/>
      <c r="AN77" s="225"/>
      <c r="AO77" s="225"/>
      <c r="AP77" s="225"/>
      <c r="AQ77" s="205"/>
      <c r="AR77" s="205"/>
      <c r="AS77" s="205"/>
      <c r="AT77" s="205"/>
      <c r="AU77" s="205"/>
      <c r="AV77" s="205"/>
      <c r="AW77" s="205"/>
      <c r="AX77" s="205"/>
      <c r="AY77" s="205"/>
    </row>
    <row r="78" spans="1:51" s="250" customFormat="1" ht="12.75" customHeight="1" x14ac:dyDescent="0.25">
      <c r="A78" s="374"/>
      <c r="B78" s="546"/>
      <c r="C78" s="196" t="s">
        <v>64</v>
      </c>
      <c r="D78" s="226">
        <f>D53*$B$52/$P$52</f>
        <v>0</v>
      </c>
      <c r="E78" s="226">
        <f t="shared" si="22"/>
        <v>1.0000000000000002E-3</v>
      </c>
      <c r="F78" s="226">
        <f t="shared" si="22"/>
        <v>2.0000000000000005E-3</v>
      </c>
      <c r="G78" s="226">
        <f t="shared" si="22"/>
        <v>2.0000000000000005E-3</v>
      </c>
      <c r="H78" s="226">
        <f t="shared" si="22"/>
        <v>2.0000000000000005E-3</v>
      </c>
      <c r="I78" s="226">
        <f t="shared" si="22"/>
        <v>2.0000000000000005E-3</v>
      </c>
      <c r="J78" s="226">
        <f t="shared" si="22"/>
        <v>2.0000000000000005E-3</v>
      </c>
      <c r="K78" s="226">
        <f t="shared" si="22"/>
        <v>2.0000000000000005E-3</v>
      </c>
      <c r="L78" s="226">
        <f t="shared" si="22"/>
        <v>2.0000000000000005E-3</v>
      </c>
      <c r="M78" s="226">
        <f t="shared" si="22"/>
        <v>2.0000000000000005E-3</v>
      </c>
      <c r="N78" s="226">
        <f t="shared" si="22"/>
        <v>2.0000000000000005E-3</v>
      </c>
      <c r="O78" s="226">
        <f t="shared" si="22"/>
        <v>1.0000000000000002E-3</v>
      </c>
      <c r="P78" s="227">
        <f t="shared" si="23"/>
        <v>2.0000000000000004E-2</v>
      </c>
      <c r="Q78" s="228"/>
      <c r="R78" s="224"/>
      <c r="S78" s="225"/>
      <c r="T78" s="225"/>
      <c r="U78" s="225"/>
      <c r="V78" s="225"/>
      <c r="W78" s="225"/>
      <c r="X78" s="225"/>
      <c r="Y78" s="225"/>
      <c r="Z78" s="225"/>
      <c r="AA78" s="225"/>
      <c r="AB78" s="225"/>
      <c r="AC78" s="225"/>
      <c r="AD78" s="225"/>
      <c r="AE78" s="225"/>
      <c r="AF78" s="225"/>
      <c r="AG78" s="225"/>
      <c r="AH78" s="225"/>
      <c r="AI78" s="225"/>
      <c r="AJ78" s="225"/>
      <c r="AK78" s="225"/>
      <c r="AL78" s="225"/>
      <c r="AM78" s="225"/>
      <c r="AN78" s="225"/>
      <c r="AO78" s="225"/>
      <c r="AP78" s="225"/>
      <c r="AQ78" s="205"/>
      <c r="AR78" s="205"/>
      <c r="AS78" s="205"/>
      <c r="AT78" s="205"/>
      <c r="AU78" s="205"/>
      <c r="AV78" s="205"/>
      <c r="AW78" s="205"/>
      <c r="AX78" s="205"/>
      <c r="AY78" s="205"/>
    </row>
    <row r="79" spans="1:51" s="250" customFormat="1" ht="12.75" customHeight="1" x14ac:dyDescent="0.25">
      <c r="A79" s="373" t="str">
        <f t="shared" ref="A79:B79" si="24">A54</f>
        <v xml:space="preserve">16. Definir e implementar acciones de las fases III y IV de la Estrategia de Cuidado Menstrual dirigidas a mujeres y personas con experiencias menstruales en sus diferencias y diversidad, según priorización y pertinencia. </v>
      </c>
      <c r="B79" s="545">
        <f t="shared" si="24"/>
        <v>0.02</v>
      </c>
      <c r="C79" s="191" t="s">
        <v>63</v>
      </c>
      <c r="D79" s="222">
        <f>D54*$B$54/$P$54</f>
        <v>0</v>
      </c>
      <c r="E79" s="222">
        <f t="shared" ref="E79:O80" si="25">E54*$B$54/$P$54</f>
        <v>0</v>
      </c>
      <c r="F79" s="222">
        <f t="shared" si="25"/>
        <v>0</v>
      </c>
      <c r="G79" s="222">
        <f t="shared" si="25"/>
        <v>2E-3</v>
      </c>
      <c r="H79" s="222">
        <f t="shared" si="25"/>
        <v>2E-3</v>
      </c>
      <c r="I79" s="222">
        <f t="shared" si="25"/>
        <v>4.0000000000000001E-3</v>
      </c>
      <c r="J79" s="222">
        <f t="shared" si="25"/>
        <v>4.0000000000000001E-3</v>
      </c>
      <c r="K79" s="222">
        <f t="shared" si="25"/>
        <v>2E-3</v>
      </c>
      <c r="L79" s="222">
        <f t="shared" si="25"/>
        <v>2E-3</v>
      </c>
      <c r="M79" s="222">
        <f t="shared" si="25"/>
        <v>4.0000000000000001E-3</v>
      </c>
      <c r="N79" s="222">
        <f t="shared" si="25"/>
        <v>0</v>
      </c>
      <c r="O79" s="222">
        <f t="shared" si="25"/>
        <v>0</v>
      </c>
      <c r="P79" s="223">
        <f t="shared" ref="P79:P82" si="26">SUM(D79:O79)</f>
        <v>0.02</v>
      </c>
      <c r="Q79" s="108"/>
      <c r="R79" s="224"/>
      <c r="S79" s="225"/>
      <c r="T79" s="225"/>
      <c r="U79" s="225"/>
      <c r="V79" s="225"/>
      <c r="W79" s="225"/>
      <c r="X79" s="225"/>
      <c r="Y79" s="225"/>
      <c r="Z79" s="225"/>
      <c r="AA79" s="225"/>
      <c r="AB79" s="225"/>
      <c r="AC79" s="225"/>
      <c r="AD79" s="225"/>
      <c r="AE79" s="225"/>
      <c r="AF79" s="225"/>
      <c r="AG79" s="225"/>
      <c r="AH79" s="225"/>
      <c r="AI79" s="225"/>
      <c r="AJ79" s="225"/>
      <c r="AK79" s="225"/>
      <c r="AL79" s="225"/>
      <c r="AM79" s="225"/>
      <c r="AN79" s="225"/>
      <c r="AO79" s="225"/>
      <c r="AP79" s="225"/>
      <c r="AQ79" s="205"/>
      <c r="AR79" s="205"/>
      <c r="AS79" s="205"/>
      <c r="AT79" s="205"/>
      <c r="AU79" s="205"/>
      <c r="AV79" s="205"/>
      <c r="AW79" s="205"/>
      <c r="AX79" s="205"/>
      <c r="AY79" s="205"/>
    </row>
    <row r="80" spans="1:51" s="250" customFormat="1" ht="12.75" customHeight="1" x14ac:dyDescent="0.25">
      <c r="A80" s="374"/>
      <c r="B80" s="546"/>
      <c r="C80" s="196" t="s">
        <v>64</v>
      </c>
      <c r="D80" s="226">
        <f>D55*$B$54/$P$54</f>
        <v>0</v>
      </c>
      <c r="E80" s="226">
        <f t="shared" si="25"/>
        <v>1E-3</v>
      </c>
      <c r="F80" s="226">
        <f t="shared" si="25"/>
        <v>1E-3</v>
      </c>
      <c r="G80" s="226">
        <f t="shared" si="25"/>
        <v>2E-3</v>
      </c>
      <c r="H80" s="226">
        <f t="shared" si="25"/>
        <v>2E-3</v>
      </c>
      <c r="I80" s="226">
        <f t="shared" si="25"/>
        <v>2E-3</v>
      </c>
      <c r="J80" s="226">
        <f t="shared" si="25"/>
        <v>4.0000000000000001E-3</v>
      </c>
      <c r="K80" s="226">
        <f t="shared" si="25"/>
        <v>2E-3</v>
      </c>
      <c r="L80" s="226">
        <f t="shared" si="25"/>
        <v>2E-3</v>
      </c>
      <c r="M80" s="226">
        <f t="shared" si="25"/>
        <v>4.0000000000000001E-3</v>
      </c>
      <c r="N80" s="226">
        <f t="shared" si="25"/>
        <v>0</v>
      </c>
      <c r="O80" s="226">
        <f t="shared" si="25"/>
        <v>0</v>
      </c>
      <c r="P80" s="227">
        <f t="shared" si="26"/>
        <v>0.02</v>
      </c>
      <c r="Q80" s="228"/>
      <c r="R80" s="224"/>
      <c r="S80" s="225"/>
      <c r="T80" s="225"/>
      <c r="U80" s="225"/>
      <c r="V80" s="225"/>
      <c r="W80" s="225"/>
      <c r="X80" s="225"/>
      <c r="Y80" s="225"/>
      <c r="Z80" s="225"/>
      <c r="AA80" s="225"/>
      <c r="AB80" s="225"/>
      <c r="AC80" s="225"/>
      <c r="AD80" s="225"/>
      <c r="AE80" s="225"/>
      <c r="AF80" s="225"/>
      <c r="AG80" s="225"/>
      <c r="AH80" s="225"/>
      <c r="AI80" s="225"/>
      <c r="AJ80" s="225"/>
      <c r="AK80" s="225"/>
      <c r="AL80" s="225"/>
      <c r="AM80" s="225"/>
      <c r="AN80" s="225"/>
      <c r="AO80" s="225"/>
      <c r="AP80" s="225"/>
      <c r="AQ80" s="205"/>
      <c r="AR80" s="205"/>
      <c r="AS80" s="205"/>
      <c r="AT80" s="205"/>
      <c r="AU80" s="205"/>
      <c r="AV80" s="205"/>
      <c r="AW80" s="205"/>
      <c r="AX80" s="205"/>
      <c r="AY80" s="205"/>
    </row>
    <row r="81" spans="1:51" s="250" customFormat="1" ht="12.75" customHeight="1" x14ac:dyDescent="0.25">
      <c r="A81" s="373" t="str">
        <f>A56</f>
        <v>17. Diseñar y poner en acción el Plan Estratégico de Comunicaciones de la EDCM</v>
      </c>
      <c r="B81" s="545">
        <f t="shared" ref="B81" si="27">B56</f>
        <v>0.02</v>
      </c>
      <c r="C81" s="191" t="s">
        <v>63</v>
      </c>
      <c r="D81" s="222">
        <f>D56*$B$56/$P$56</f>
        <v>0</v>
      </c>
      <c r="E81" s="222">
        <f t="shared" ref="E81:O82" si="28">E56*$B$56/$P$56</f>
        <v>1E-3</v>
      </c>
      <c r="F81" s="222">
        <f t="shared" si="28"/>
        <v>0</v>
      </c>
      <c r="G81" s="222">
        <f t="shared" si="28"/>
        <v>1E-3</v>
      </c>
      <c r="H81" s="222">
        <f t="shared" si="28"/>
        <v>0</v>
      </c>
      <c r="I81" s="222">
        <f t="shared" si="28"/>
        <v>4.0000000000000001E-3</v>
      </c>
      <c r="J81" s="222">
        <f t="shared" si="28"/>
        <v>4.0000000000000001E-3</v>
      </c>
      <c r="K81" s="222">
        <f t="shared" si="28"/>
        <v>3.0000000000000001E-3</v>
      </c>
      <c r="L81" s="222">
        <f t="shared" si="28"/>
        <v>4.0000000000000001E-3</v>
      </c>
      <c r="M81" s="222">
        <f t="shared" si="28"/>
        <v>3.0000000000000001E-3</v>
      </c>
      <c r="N81" s="222">
        <f t="shared" si="28"/>
        <v>0</v>
      </c>
      <c r="O81" s="222">
        <f t="shared" si="28"/>
        <v>0</v>
      </c>
      <c r="P81" s="223">
        <f t="shared" si="26"/>
        <v>0.02</v>
      </c>
      <c r="Q81" s="108"/>
      <c r="R81" s="224"/>
      <c r="S81" s="225"/>
      <c r="T81" s="225"/>
      <c r="U81" s="225"/>
      <c r="V81" s="225"/>
      <c r="W81" s="225"/>
      <c r="X81" s="225"/>
      <c r="Y81" s="225"/>
      <c r="Z81" s="225"/>
      <c r="AA81" s="225"/>
      <c r="AB81" s="225"/>
      <c r="AC81" s="225"/>
      <c r="AD81" s="225"/>
      <c r="AE81" s="225"/>
      <c r="AF81" s="225"/>
      <c r="AG81" s="225"/>
      <c r="AH81" s="225"/>
      <c r="AI81" s="225"/>
      <c r="AJ81" s="225"/>
      <c r="AK81" s="225"/>
      <c r="AL81" s="225"/>
      <c r="AM81" s="225"/>
      <c r="AN81" s="225"/>
      <c r="AO81" s="225"/>
      <c r="AP81" s="225"/>
      <c r="AQ81" s="205"/>
      <c r="AR81" s="205"/>
      <c r="AS81" s="205"/>
      <c r="AT81" s="205"/>
      <c r="AU81" s="205"/>
      <c r="AV81" s="205"/>
      <c r="AW81" s="205"/>
      <c r="AX81" s="205"/>
      <c r="AY81" s="205"/>
    </row>
    <row r="82" spans="1:51" s="250" customFormat="1" ht="12.75" customHeight="1" x14ac:dyDescent="0.25">
      <c r="A82" s="374"/>
      <c r="B82" s="546"/>
      <c r="C82" s="196" t="s">
        <v>64</v>
      </c>
      <c r="D82" s="226">
        <f>D57*$B$56/$P$56</f>
        <v>0</v>
      </c>
      <c r="E82" s="226">
        <f t="shared" si="28"/>
        <v>1E-3</v>
      </c>
      <c r="F82" s="226">
        <f t="shared" si="28"/>
        <v>1E-3</v>
      </c>
      <c r="G82" s="226">
        <f t="shared" si="28"/>
        <v>1E-3</v>
      </c>
      <c r="H82" s="226">
        <f t="shared" si="28"/>
        <v>1E-3</v>
      </c>
      <c r="I82" s="226">
        <f t="shared" si="28"/>
        <v>4.0000000000000001E-3</v>
      </c>
      <c r="J82" s="226">
        <f t="shared" si="28"/>
        <v>2E-3</v>
      </c>
      <c r="K82" s="226">
        <f t="shared" si="28"/>
        <v>2E-3</v>
      </c>
      <c r="L82" s="226">
        <f t="shared" si="28"/>
        <v>2E-3</v>
      </c>
      <c r="M82" s="226">
        <f t="shared" si="28"/>
        <v>2E-3</v>
      </c>
      <c r="N82" s="226">
        <f t="shared" si="28"/>
        <v>3.0000000000000001E-3</v>
      </c>
      <c r="O82" s="226">
        <f t="shared" si="28"/>
        <v>1E-3</v>
      </c>
      <c r="P82" s="227">
        <f t="shared" si="26"/>
        <v>0.02</v>
      </c>
      <c r="Q82" s="228"/>
      <c r="R82" s="224"/>
      <c r="S82" s="225"/>
      <c r="T82" s="225"/>
      <c r="U82" s="225"/>
      <c r="V82" s="225"/>
      <c r="W82" s="225"/>
      <c r="X82" s="225"/>
      <c r="Y82" s="225"/>
      <c r="Z82" s="225"/>
      <c r="AA82" s="225"/>
      <c r="AB82" s="225"/>
      <c r="AC82" s="225"/>
      <c r="AD82" s="225"/>
      <c r="AE82" s="225"/>
      <c r="AF82" s="225"/>
      <c r="AG82" s="225"/>
      <c r="AH82" s="225"/>
      <c r="AI82" s="225"/>
      <c r="AJ82" s="225"/>
      <c r="AK82" s="225"/>
      <c r="AL82" s="225"/>
      <c r="AM82" s="225"/>
      <c r="AN82" s="225"/>
      <c r="AO82" s="225"/>
      <c r="AP82" s="225"/>
      <c r="AQ82" s="205"/>
      <c r="AR82" s="205"/>
      <c r="AS82" s="205"/>
      <c r="AT82" s="205"/>
      <c r="AU82" s="205"/>
      <c r="AV82" s="205"/>
      <c r="AW82" s="205"/>
      <c r="AX82" s="205"/>
      <c r="AY82" s="205"/>
    </row>
    <row r="83" spans="1:51" s="250" customFormat="1" ht="15.75" customHeight="1" x14ac:dyDescent="0.25">
      <c r="A83" s="225"/>
      <c r="B83" s="225"/>
      <c r="C83" s="229"/>
      <c r="D83" s="230">
        <f>D64+D66+D68+D70+D72+D74+D76+D78+D80+D82</f>
        <v>0</v>
      </c>
      <c r="E83" s="230">
        <f t="shared" ref="E83:N83" si="29">E64+E66+E68+E70+E72+E74+E76+E78+E80+E82</f>
        <v>6.8000000000000005E-3</v>
      </c>
      <c r="F83" s="230">
        <f t="shared" si="29"/>
        <v>1.2E-2</v>
      </c>
      <c r="G83" s="230">
        <f t="shared" si="29"/>
        <v>1.4800000000000001E-2</v>
      </c>
      <c r="H83" s="230">
        <f t="shared" si="29"/>
        <v>1.54E-2</v>
      </c>
      <c r="I83" s="230">
        <f t="shared" si="29"/>
        <v>2.1600000000000001E-2</v>
      </c>
      <c r="J83" s="230">
        <f t="shared" si="29"/>
        <v>1.9000000000000003E-2</v>
      </c>
      <c r="K83" s="230">
        <f t="shared" si="29"/>
        <v>1.7000000000000001E-2</v>
      </c>
      <c r="L83" s="230">
        <f t="shared" si="29"/>
        <v>2.1200000000000004E-2</v>
      </c>
      <c r="M83" s="230">
        <f t="shared" si="29"/>
        <v>3.1E-2</v>
      </c>
      <c r="N83" s="230">
        <f t="shared" si="29"/>
        <v>3.0000000000000002E-2</v>
      </c>
      <c r="O83" s="230">
        <f>O64+O66+O68+O70+O72+O74+O76+O78+O80+O82</f>
        <v>1.1200000000000002E-2</v>
      </c>
      <c r="P83" s="230">
        <f>P64+P66+P68+P70+P72+P74+P76+P78+P80+P82</f>
        <v>0.2</v>
      </c>
      <c r="Q83" s="225"/>
      <c r="R83" s="224"/>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05"/>
      <c r="AR83" s="205"/>
      <c r="AS83" s="205"/>
      <c r="AT83" s="205"/>
      <c r="AU83" s="205"/>
      <c r="AV83" s="205"/>
      <c r="AW83" s="205"/>
      <c r="AX83" s="205"/>
      <c r="AY83" s="205"/>
    </row>
    <row r="84" spans="1:51" s="250" customFormat="1" ht="15.75" customHeight="1" x14ac:dyDescent="0.25">
      <c r="A84" s="205"/>
      <c r="B84" s="205"/>
      <c r="C84" s="209" t="s">
        <v>64</v>
      </c>
      <c r="D84" s="231">
        <f>D83*$W$17/$B$34</f>
        <v>0</v>
      </c>
      <c r="E84" s="231">
        <f t="shared" ref="E84:O84" si="30">E83*$W$17/$B$34</f>
        <v>3.0600000000000006E-2</v>
      </c>
      <c r="F84" s="231">
        <f t="shared" si="30"/>
        <v>5.4000000000000006E-2</v>
      </c>
      <c r="G84" s="231">
        <f t="shared" si="30"/>
        <v>6.6600000000000006E-2</v>
      </c>
      <c r="H84" s="231">
        <f t="shared" si="30"/>
        <v>6.9300000000000014E-2</v>
      </c>
      <c r="I84" s="231">
        <f t="shared" si="30"/>
        <v>9.7200000000000022E-2</v>
      </c>
      <c r="J84" s="231">
        <f t="shared" si="30"/>
        <v>8.5500000000000034E-2</v>
      </c>
      <c r="K84" s="231">
        <f t="shared" si="30"/>
        <v>7.6500000000000012E-2</v>
      </c>
      <c r="L84" s="231">
        <f t="shared" si="30"/>
        <v>9.5400000000000026E-2</v>
      </c>
      <c r="M84" s="231">
        <f t="shared" si="30"/>
        <v>0.13950000000000001</v>
      </c>
      <c r="N84" s="231">
        <f t="shared" si="30"/>
        <v>0.13500000000000004</v>
      </c>
      <c r="O84" s="231">
        <f t="shared" si="30"/>
        <v>5.0400000000000014E-2</v>
      </c>
      <c r="P84" s="232">
        <f>SUM(D84:O84)</f>
        <v>0.90000000000000013</v>
      </c>
      <c r="Q84" s="204"/>
      <c r="R84" s="205"/>
      <c r="S84" s="205"/>
      <c r="T84" s="205"/>
      <c r="U84" s="205"/>
      <c r="V84" s="205"/>
      <c r="W84" s="205"/>
      <c r="X84" s="205"/>
      <c r="Y84" s="205"/>
      <c r="Z84" s="205"/>
      <c r="AA84" s="205"/>
      <c r="AB84" s="205"/>
      <c r="AC84" s="205"/>
      <c r="AD84" s="205"/>
      <c r="AE84" s="205"/>
      <c r="AF84" s="205"/>
      <c r="AG84" s="205"/>
      <c r="AH84" s="205"/>
      <c r="AI84" s="205"/>
      <c r="AJ84" s="205"/>
      <c r="AK84" s="205"/>
      <c r="AL84" s="205"/>
      <c r="AM84" s="205"/>
      <c r="AN84" s="205"/>
      <c r="AO84" s="205"/>
      <c r="AP84" s="205"/>
      <c r="AQ84" s="205"/>
      <c r="AR84" s="205"/>
      <c r="AS84" s="205"/>
      <c r="AT84" s="205"/>
      <c r="AU84" s="205"/>
      <c r="AV84" s="205"/>
      <c r="AW84" s="205"/>
      <c r="AX84" s="205"/>
      <c r="AY84" s="205"/>
    </row>
    <row r="85" spans="1:51" s="250" customFormat="1" ht="13.5" customHeight="1" x14ac:dyDescent="0.25">
      <c r="A85" s="204"/>
      <c r="B85" s="204"/>
      <c r="C85" s="204"/>
      <c r="D85" s="204"/>
      <c r="E85" s="204"/>
      <c r="F85" s="204"/>
      <c r="G85" s="204"/>
      <c r="H85" s="204"/>
      <c r="I85" s="204"/>
      <c r="J85" s="204"/>
      <c r="K85" s="204"/>
      <c r="L85" s="204"/>
      <c r="M85" s="204"/>
      <c r="N85" s="204"/>
      <c r="O85" s="204"/>
      <c r="P85" s="204"/>
      <c r="Q85" s="204"/>
      <c r="R85" s="204"/>
      <c r="S85" s="204"/>
      <c r="T85" s="204"/>
      <c r="U85" s="204"/>
      <c r="V85" s="204"/>
      <c r="W85" s="204"/>
      <c r="X85" s="204"/>
      <c r="Y85" s="204"/>
      <c r="Z85" s="204"/>
      <c r="AA85" s="204"/>
      <c r="AB85" s="204"/>
      <c r="AC85" s="204"/>
      <c r="AD85" s="205"/>
      <c r="AE85" s="205"/>
      <c r="AF85" s="205"/>
      <c r="AG85" s="205"/>
      <c r="AH85" s="205"/>
      <c r="AI85" s="205"/>
      <c r="AJ85" s="205"/>
      <c r="AK85" s="205"/>
      <c r="AL85" s="205"/>
      <c r="AM85" s="205"/>
      <c r="AN85" s="205"/>
      <c r="AO85" s="205"/>
      <c r="AP85" s="205"/>
      <c r="AQ85" s="205"/>
      <c r="AR85" s="205"/>
      <c r="AS85" s="205"/>
      <c r="AT85" s="205"/>
      <c r="AU85" s="205"/>
      <c r="AV85" s="205"/>
      <c r="AW85" s="205"/>
      <c r="AX85" s="205"/>
      <c r="AY85" s="205"/>
    </row>
    <row r="86" spans="1:51" x14ac:dyDescent="0.25">
      <c r="D86" s="230">
        <f>D63+D65+D67+D69+D71+D73+D75+D77+D79+D81</f>
        <v>0</v>
      </c>
      <c r="E86" s="230">
        <f t="shared" ref="E86:O86" si="31">E63+E65+E67+E69+E71+E73+E75+E77+E79+E81</f>
        <v>6.8000000000000005E-3</v>
      </c>
      <c r="F86" s="230">
        <f t="shared" si="31"/>
        <v>1.06E-2</v>
      </c>
      <c r="G86" s="230">
        <f t="shared" si="31"/>
        <v>1.4800000000000001E-2</v>
      </c>
      <c r="H86" s="230">
        <f t="shared" si="31"/>
        <v>1.34E-2</v>
      </c>
      <c r="I86" s="230">
        <f t="shared" si="31"/>
        <v>2.2000000000000002E-2</v>
      </c>
      <c r="J86" s="230">
        <f t="shared" si="31"/>
        <v>2.3000000000000003E-2</v>
      </c>
      <c r="K86" s="230">
        <f t="shared" si="31"/>
        <v>2.5000000000000005E-2</v>
      </c>
      <c r="L86" s="230">
        <f t="shared" si="31"/>
        <v>2.4000000000000004E-2</v>
      </c>
      <c r="M86" s="230">
        <f t="shared" si="31"/>
        <v>2.7000000000000003E-2</v>
      </c>
      <c r="N86" s="230">
        <f t="shared" si="31"/>
        <v>2.1000000000000005E-2</v>
      </c>
      <c r="O86" s="230">
        <f t="shared" si="31"/>
        <v>1.2400000000000001E-2</v>
      </c>
      <c r="P86" s="230">
        <f>SUM(D86:O86)</f>
        <v>0.20000000000000004</v>
      </c>
    </row>
    <row r="87" spans="1:51" x14ac:dyDescent="0.25">
      <c r="C87" s="209" t="s">
        <v>63</v>
      </c>
      <c r="D87" s="231">
        <f>D86*$W$17/$B$34</f>
        <v>0</v>
      </c>
      <c r="E87" s="231">
        <f t="shared" ref="E87:O87" si="32">E86*$W$17/$B$34</f>
        <v>3.0600000000000006E-2</v>
      </c>
      <c r="F87" s="231">
        <f t="shared" si="32"/>
        <v>4.7700000000000006E-2</v>
      </c>
      <c r="G87" s="231">
        <f t="shared" si="32"/>
        <v>6.6600000000000006E-2</v>
      </c>
      <c r="H87" s="231">
        <f t="shared" si="32"/>
        <v>6.0300000000000013E-2</v>
      </c>
      <c r="I87" s="231">
        <f t="shared" si="32"/>
        <v>9.9000000000000019E-2</v>
      </c>
      <c r="J87" s="231">
        <f t="shared" si="32"/>
        <v>0.10350000000000002</v>
      </c>
      <c r="K87" s="231">
        <f t="shared" si="32"/>
        <v>0.11250000000000004</v>
      </c>
      <c r="L87" s="231">
        <f t="shared" si="32"/>
        <v>0.10800000000000003</v>
      </c>
      <c r="M87" s="231">
        <f t="shared" si="32"/>
        <v>0.12150000000000002</v>
      </c>
      <c r="N87" s="231">
        <f t="shared" si="32"/>
        <v>9.4500000000000028E-2</v>
      </c>
      <c r="O87" s="231">
        <f t="shared" si="32"/>
        <v>5.5800000000000009E-2</v>
      </c>
      <c r="P87" s="232">
        <f>SUM(D87:O87)</f>
        <v>0.90000000000000024</v>
      </c>
    </row>
  </sheetData>
  <mergeCells count="117">
    <mergeCell ref="A11:B13"/>
    <mergeCell ref="C11:AD13"/>
    <mergeCell ref="A7:B9"/>
    <mergeCell ref="C7:C9"/>
    <mergeCell ref="D7:H9"/>
    <mergeCell ref="AB4:AD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27:AD27"/>
    <mergeCell ref="A28:A29"/>
    <mergeCell ref="B28:C29"/>
    <mergeCell ref="D28:O28"/>
    <mergeCell ref="P28:P29"/>
    <mergeCell ref="Q28:AD29"/>
    <mergeCell ref="A19:AD19"/>
    <mergeCell ref="C20:P20"/>
    <mergeCell ref="Q20:AD20"/>
    <mergeCell ref="B30:C30"/>
    <mergeCell ref="Q30:AD30"/>
    <mergeCell ref="A31:AD31"/>
    <mergeCell ref="A32:A33"/>
    <mergeCell ref="B32:B33"/>
    <mergeCell ref="C32:C33"/>
    <mergeCell ref="D32:P32"/>
    <mergeCell ref="Q32:AD32"/>
    <mergeCell ref="Q33:V33"/>
    <mergeCell ref="W33:Z33"/>
    <mergeCell ref="AA33:AD33"/>
    <mergeCell ref="A36:A37"/>
    <mergeCell ref="B36:B37"/>
    <mergeCell ref="C36:P36"/>
    <mergeCell ref="Q36:AD36"/>
    <mergeCell ref="Q37:AD37"/>
    <mergeCell ref="A34:A35"/>
    <mergeCell ref="B34:B35"/>
    <mergeCell ref="Q34:V35"/>
    <mergeCell ref="W34:Z35"/>
    <mergeCell ref="AA34:AD35"/>
    <mergeCell ref="A38:A39"/>
    <mergeCell ref="B38:B39"/>
    <mergeCell ref="Q38:AD39"/>
    <mergeCell ref="A48:A49"/>
    <mergeCell ref="B48:B49"/>
    <mergeCell ref="Q48:AD49"/>
    <mergeCell ref="A40:A41"/>
    <mergeCell ref="B40:B41"/>
    <mergeCell ref="Q40:AD41"/>
    <mergeCell ref="A42:A43"/>
    <mergeCell ref="B42:B43"/>
    <mergeCell ref="Q42:AD43"/>
    <mergeCell ref="B44:B45"/>
    <mergeCell ref="A44:A45"/>
    <mergeCell ref="B46:B47"/>
    <mergeCell ref="A46:A47"/>
    <mergeCell ref="Q44:AD45"/>
    <mergeCell ref="Q46:AD47"/>
    <mergeCell ref="Q52:AD53"/>
    <mergeCell ref="Q54:AD55"/>
    <mergeCell ref="B56:B57"/>
    <mergeCell ref="B50:B51"/>
    <mergeCell ref="B52:B53"/>
    <mergeCell ref="B54:B55"/>
    <mergeCell ref="A65:A66"/>
    <mergeCell ref="B65:B66"/>
    <mergeCell ref="A67:A68"/>
    <mergeCell ref="B67:B68"/>
    <mergeCell ref="A50:A51"/>
    <mergeCell ref="A52:A53"/>
    <mergeCell ref="A54:A55"/>
    <mergeCell ref="A56:A57"/>
    <mergeCell ref="Q56:AD57"/>
    <mergeCell ref="Q50:AD51"/>
    <mergeCell ref="A69:A70"/>
    <mergeCell ref="B69:B70"/>
    <mergeCell ref="A61:A62"/>
    <mergeCell ref="B61:B62"/>
    <mergeCell ref="C61:P61"/>
    <mergeCell ref="A63:A64"/>
    <mergeCell ref="B63:B64"/>
    <mergeCell ref="A77:A78"/>
    <mergeCell ref="B77:B78"/>
    <mergeCell ref="A79:A80"/>
    <mergeCell ref="B79:B80"/>
    <mergeCell ref="A81:A82"/>
    <mergeCell ref="B81:B82"/>
    <mergeCell ref="A71:A72"/>
    <mergeCell ref="B71:B72"/>
    <mergeCell ref="A73:A74"/>
    <mergeCell ref="B73:B74"/>
    <mergeCell ref="A75:A76"/>
    <mergeCell ref="B75:B76"/>
  </mergeCells>
  <phoneticPr fontId="50" type="noConversion"/>
  <dataValidations count="3">
    <dataValidation type="list" allowBlank="1" showInputMessage="1" showErrorMessage="1" sqref="C7:C9" xr:uid="{00000000-0002-0000-01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textLength" operator="lessThanOrEqual" allowBlank="1" showInputMessage="1" showErrorMessage="1" errorTitle="Máximo 2.000 caracteres" error="Máximo 2.000 caracteres" sqref="R38:AD55 Q38:Q56 Q34 AA34 W34" xr:uid="{00000000-0002-0000-0100-000002000000}">
      <formula1>2000</formula1>
    </dataValidation>
  </dataValidations>
  <printOptions horizontalCentered="1"/>
  <pageMargins left="0.73685039370078742" right="0.19685039370078741" top="0.19685039370078741" bottom="0.19685039370078741" header="0" footer="0"/>
  <pageSetup paperSize="9" scale="23" orientation="landscape" r:id="rId1"/>
  <rowBreaks count="1" manualBreakCount="1">
    <brk id="53" max="29"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Y69"/>
  <sheetViews>
    <sheetView view="pageBreakPreview" topLeftCell="C9" zoomScale="60" zoomScaleNormal="75" workbookViewId="0">
      <selection activeCell="C20" sqref="C20:P20"/>
    </sheetView>
  </sheetViews>
  <sheetFormatPr baseColWidth="10" defaultColWidth="10.85546875" defaultRowHeight="15" x14ac:dyDescent="0.25"/>
  <cols>
    <col min="1" max="1" width="38.42578125" style="108" customWidth="1"/>
    <col min="2" max="2" width="15.42578125" style="108" customWidth="1"/>
    <col min="3" max="3" width="17.42578125" style="108" customWidth="1"/>
    <col min="4" max="16" width="15.42578125" style="108" customWidth="1"/>
    <col min="17" max="17" width="17.42578125" style="108" bestFit="1" customWidth="1"/>
    <col min="18" max="18" width="14.85546875" style="108" bestFit="1" customWidth="1"/>
    <col min="19" max="28" width="16" style="108" bestFit="1" customWidth="1"/>
    <col min="29" max="29" width="17.42578125" style="108" bestFit="1" customWidth="1"/>
    <col min="30" max="30" width="19.42578125" style="108" customWidth="1"/>
    <col min="31" max="31" width="6.42578125" style="108" bestFit="1" customWidth="1"/>
    <col min="32" max="32" width="22.85546875" style="108" customWidth="1"/>
    <col min="33" max="33" width="18.42578125" style="108" bestFit="1" customWidth="1"/>
    <col min="34" max="34" width="8.42578125" style="108" customWidth="1"/>
    <col min="35" max="35" width="18.42578125" style="108" bestFit="1" customWidth="1"/>
    <col min="36" max="36" width="5.42578125" style="108" customWidth="1"/>
    <col min="37" max="37" width="18.42578125" style="108" bestFit="1" customWidth="1"/>
    <col min="38" max="38" width="4.42578125" style="108" customWidth="1"/>
    <col min="39" max="39" width="23" style="108" bestFit="1" customWidth="1"/>
    <col min="40" max="40" width="10.85546875" style="108"/>
    <col min="41" max="41" width="18.42578125" style="108" bestFit="1" customWidth="1"/>
    <col min="42" max="42" width="16.140625" style="108" customWidth="1"/>
    <col min="43" max="16384" width="10.85546875" style="108"/>
  </cols>
  <sheetData>
    <row r="1" spans="1:30" ht="32.25" customHeight="1" x14ac:dyDescent="0.25">
      <c r="A1" s="489"/>
      <c r="B1" s="492" t="s">
        <v>0</v>
      </c>
      <c r="C1" s="493"/>
      <c r="D1" s="493"/>
      <c r="E1" s="493"/>
      <c r="F1" s="493"/>
      <c r="G1" s="493"/>
      <c r="H1" s="493"/>
      <c r="I1" s="493"/>
      <c r="J1" s="493"/>
      <c r="K1" s="493"/>
      <c r="L1" s="493"/>
      <c r="M1" s="493"/>
      <c r="N1" s="493"/>
      <c r="O1" s="493"/>
      <c r="P1" s="493"/>
      <c r="Q1" s="493"/>
      <c r="R1" s="493"/>
      <c r="S1" s="493"/>
      <c r="T1" s="493"/>
      <c r="U1" s="493"/>
      <c r="V1" s="493"/>
      <c r="W1" s="493"/>
      <c r="X1" s="493"/>
      <c r="Y1" s="493"/>
      <c r="Z1" s="493"/>
      <c r="AA1" s="494"/>
      <c r="AB1" s="495" t="s">
        <v>1</v>
      </c>
      <c r="AC1" s="496"/>
      <c r="AD1" s="497"/>
    </row>
    <row r="2" spans="1:30" ht="30.75" customHeight="1" x14ac:dyDescent="0.25">
      <c r="A2" s="490"/>
      <c r="B2" s="498" t="s">
        <v>2</v>
      </c>
      <c r="C2" s="499"/>
      <c r="D2" s="499"/>
      <c r="E2" s="499"/>
      <c r="F2" s="499"/>
      <c r="G2" s="499"/>
      <c r="H2" s="499"/>
      <c r="I2" s="499"/>
      <c r="J2" s="499"/>
      <c r="K2" s="499"/>
      <c r="L2" s="499"/>
      <c r="M2" s="499"/>
      <c r="N2" s="499"/>
      <c r="O2" s="499"/>
      <c r="P2" s="499"/>
      <c r="Q2" s="499"/>
      <c r="R2" s="499"/>
      <c r="S2" s="499"/>
      <c r="T2" s="499"/>
      <c r="U2" s="499"/>
      <c r="V2" s="499"/>
      <c r="W2" s="499"/>
      <c r="X2" s="499"/>
      <c r="Y2" s="499"/>
      <c r="Z2" s="499"/>
      <c r="AA2" s="500"/>
      <c r="AB2" s="501" t="s">
        <v>3</v>
      </c>
      <c r="AC2" s="502"/>
      <c r="AD2" s="503"/>
    </row>
    <row r="3" spans="1:30" ht="37.5" customHeight="1" x14ac:dyDescent="0.25">
      <c r="A3" s="490"/>
      <c r="B3" s="504" t="s">
        <v>4</v>
      </c>
      <c r="C3" s="505"/>
      <c r="D3" s="505"/>
      <c r="E3" s="505"/>
      <c r="F3" s="505"/>
      <c r="G3" s="505"/>
      <c r="H3" s="505"/>
      <c r="I3" s="505"/>
      <c r="J3" s="505"/>
      <c r="K3" s="505"/>
      <c r="L3" s="505"/>
      <c r="M3" s="505"/>
      <c r="N3" s="505"/>
      <c r="O3" s="505"/>
      <c r="P3" s="505"/>
      <c r="Q3" s="505"/>
      <c r="R3" s="505"/>
      <c r="S3" s="505"/>
      <c r="T3" s="505"/>
      <c r="U3" s="505"/>
      <c r="V3" s="505"/>
      <c r="W3" s="505"/>
      <c r="X3" s="505"/>
      <c r="Y3" s="505"/>
      <c r="Z3" s="505"/>
      <c r="AA3" s="506"/>
      <c r="AB3" s="501" t="s">
        <v>5</v>
      </c>
      <c r="AC3" s="502"/>
      <c r="AD3" s="503"/>
    </row>
    <row r="4" spans="1:30" ht="15.75" customHeight="1" thickBot="1" x14ac:dyDescent="0.3">
      <c r="A4" s="491"/>
      <c r="B4" s="507"/>
      <c r="C4" s="508"/>
      <c r="D4" s="508"/>
      <c r="E4" s="508"/>
      <c r="F4" s="508"/>
      <c r="G4" s="508"/>
      <c r="H4" s="508"/>
      <c r="I4" s="508"/>
      <c r="J4" s="508"/>
      <c r="K4" s="508"/>
      <c r="L4" s="508"/>
      <c r="M4" s="508"/>
      <c r="N4" s="508"/>
      <c r="O4" s="508"/>
      <c r="P4" s="508"/>
      <c r="Q4" s="508"/>
      <c r="R4" s="508"/>
      <c r="S4" s="508"/>
      <c r="T4" s="508"/>
      <c r="U4" s="508"/>
      <c r="V4" s="508"/>
      <c r="W4" s="508"/>
      <c r="X4" s="508"/>
      <c r="Y4" s="508"/>
      <c r="Z4" s="508"/>
      <c r="AA4" s="509"/>
      <c r="AB4" s="510" t="s">
        <v>6</v>
      </c>
      <c r="AC4" s="511"/>
      <c r="AD4" s="512"/>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515" t="s">
        <v>7</v>
      </c>
      <c r="B7" s="516"/>
      <c r="C7" s="521" t="s">
        <v>40</v>
      </c>
      <c r="D7" s="515" t="s">
        <v>9</v>
      </c>
      <c r="E7" s="524"/>
      <c r="F7" s="524"/>
      <c r="G7" s="524"/>
      <c r="H7" s="516"/>
      <c r="I7" s="527">
        <v>44929</v>
      </c>
      <c r="J7" s="528"/>
      <c r="K7" s="515" t="s">
        <v>10</v>
      </c>
      <c r="L7" s="516"/>
      <c r="M7" s="543" t="s">
        <v>11</v>
      </c>
      <c r="N7" s="544"/>
      <c r="O7" s="533"/>
      <c r="P7" s="534"/>
      <c r="Q7" s="54"/>
      <c r="R7" s="54"/>
      <c r="S7" s="54"/>
      <c r="T7" s="54"/>
      <c r="U7" s="54"/>
      <c r="V7" s="54"/>
      <c r="W7" s="54"/>
      <c r="X7" s="54"/>
      <c r="Y7" s="54"/>
      <c r="Z7" s="55"/>
      <c r="AA7" s="54"/>
      <c r="AB7" s="54"/>
      <c r="AC7" s="60"/>
      <c r="AD7" s="61"/>
    </row>
    <row r="8" spans="1:30" x14ac:dyDescent="0.25">
      <c r="A8" s="517"/>
      <c r="B8" s="518"/>
      <c r="C8" s="522"/>
      <c r="D8" s="517"/>
      <c r="E8" s="525"/>
      <c r="F8" s="525"/>
      <c r="G8" s="525"/>
      <c r="H8" s="518"/>
      <c r="I8" s="529"/>
      <c r="J8" s="530"/>
      <c r="K8" s="517"/>
      <c r="L8" s="518"/>
      <c r="M8" s="535" t="s">
        <v>12</v>
      </c>
      <c r="N8" s="536"/>
      <c r="O8" s="537"/>
      <c r="P8" s="538"/>
      <c r="Q8" s="54"/>
      <c r="R8" s="54"/>
      <c r="S8" s="54"/>
      <c r="T8" s="54"/>
      <c r="U8" s="54"/>
      <c r="V8" s="54"/>
      <c r="W8" s="54"/>
      <c r="X8" s="54"/>
      <c r="Y8" s="54"/>
      <c r="Z8" s="55"/>
      <c r="AA8" s="54"/>
      <c r="AB8" s="54"/>
      <c r="AC8" s="60"/>
      <c r="AD8" s="61"/>
    </row>
    <row r="9" spans="1:30" ht="15.75" thickBot="1" x14ac:dyDescent="0.3">
      <c r="A9" s="519"/>
      <c r="B9" s="520"/>
      <c r="C9" s="523"/>
      <c r="D9" s="519"/>
      <c r="E9" s="526"/>
      <c r="F9" s="526"/>
      <c r="G9" s="526"/>
      <c r="H9" s="520"/>
      <c r="I9" s="531"/>
      <c r="J9" s="532"/>
      <c r="K9" s="519"/>
      <c r="L9" s="520"/>
      <c r="M9" s="539" t="s">
        <v>13</v>
      </c>
      <c r="N9" s="540"/>
      <c r="O9" s="541" t="s">
        <v>14</v>
      </c>
      <c r="P9" s="542"/>
      <c r="Q9" s="54"/>
      <c r="R9" s="54"/>
      <c r="S9" s="54"/>
      <c r="T9" s="54"/>
      <c r="U9" s="54"/>
      <c r="V9" s="54"/>
      <c r="W9" s="54"/>
      <c r="X9" s="54"/>
      <c r="Y9" s="54"/>
      <c r="Z9" s="55"/>
      <c r="AA9" s="54"/>
      <c r="AB9" s="54"/>
      <c r="AC9" s="60"/>
      <c r="AD9" s="61"/>
    </row>
    <row r="10" spans="1:30" ht="15" customHeight="1" thickBot="1" x14ac:dyDescent="0.3">
      <c r="A10" s="151"/>
      <c r="B10" s="152"/>
      <c r="C10" s="152"/>
      <c r="D10" s="65"/>
      <c r="E10" s="65"/>
      <c r="F10" s="65"/>
      <c r="G10" s="65"/>
      <c r="H10" s="65"/>
      <c r="I10" s="212"/>
      <c r="J10" s="212"/>
      <c r="K10" s="65"/>
      <c r="L10" s="65"/>
      <c r="M10" s="213"/>
      <c r="N10" s="213"/>
      <c r="O10" s="112"/>
      <c r="P10" s="112"/>
      <c r="Q10" s="152"/>
      <c r="R10" s="152"/>
      <c r="S10" s="152"/>
      <c r="T10" s="152"/>
      <c r="U10" s="152"/>
      <c r="V10" s="152"/>
      <c r="W10" s="152"/>
      <c r="X10" s="152"/>
      <c r="Y10" s="152"/>
      <c r="Z10" s="153"/>
      <c r="AA10" s="152"/>
      <c r="AB10" s="152"/>
      <c r="AC10" s="154"/>
      <c r="AD10" s="155"/>
    </row>
    <row r="11" spans="1:30" ht="15" customHeight="1" x14ac:dyDescent="0.25">
      <c r="A11" s="515" t="s">
        <v>15</v>
      </c>
      <c r="B11" s="516"/>
      <c r="C11" s="580" t="s">
        <v>16</v>
      </c>
      <c r="D11" s="581"/>
      <c r="E11" s="581"/>
      <c r="F11" s="581"/>
      <c r="G11" s="581"/>
      <c r="H11" s="581"/>
      <c r="I11" s="581"/>
      <c r="J11" s="581"/>
      <c r="K11" s="581"/>
      <c r="L11" s="581"/>
      <c r="M11" s="581"/>
      <c r="N11" s="581"/>
      <c r="O11" s="581"/>
      <c r="P11" s="581"/>
      <c r="Q11" s="581"/>
      <c r="R11" s="581"/>
      <c r="S11" s="581"/>
      <c r="T11" s="581"/>
      <c r="U11" s="581"/>
      <c r="V11" s="581"/>
      <c r="W11" s="581"/>
      <c r="X11" s="581"/>
      <c r="Y11" s="581"/>
      <c r="Z11" s="581"/>
      <c r="AA11" s="581"/>
      <c r="AB11" s="581"/>
      <c r="AC11" s="581"/>
      <c r="AD11" s="582"/>
    </row>
    <row r="12" spans="1:30" ht="15" customHeight="1" x14ac:dyDescent="0.25">
      <c r="A12" s="517"/>
      <c r="B12" s="518"/>
      <c r="C12" s="583"/>
      <c r="D12" s="584"/>
      <c r="E12" s="584"/>
      <c r="F12" s="584"/>
      <c r="G12" s="584"/>
      <c r="H12" s="584"/>
      <c r="I12" s="584"/>
      <c r="J12" s="584"/>
      <c r="K12" s="584"/>
      <c r="L12" s="584"/>
      <c r="M12" s="584"/>
      <c r="N12" s="584"/>
      <c r="O12" s="584"/>
      <c r="P12" s="584"/>
      <c r="Q12" s="584"/>
      <c r="R12" s="584"/>
      <c r="S12" s="584"/>
      <c r="T12" s="584"/>
      <c r="U12" s="584"/>
      <c r="V12" s="584"/>
      <c r="W12" s="584"/>
      <c r="X12" s="584"/>
      <c r="Y12" s="584"/>
      <c r="Z12" s="584"/>
      <c r="AA12" s="584"/>
      <c r="AB12" s="584"/>
      <c r="AC12" s="584"/>
      <c r="AD12" s="585"/>
    </row>
    <row r="13" spans="1:30" ht="15" customHeight="1" thickBot="1" x14ac:dyDescent="0.3">
      <c r="A13" s="519"/>
      <c r="B13" s="520"/>
      <c r="C13" s="586"/>
      <c r="D13" s="587"/>
      <c r="E13" s="587"/>
      <c r="F13" s="587"/>
      <c r="G13" s="587"/>
      <c r="H13" s="587"/>
      <c r="I13" s="587"/>
      <c r="J13" s="587"/>
      <c r="K13" s="587"/>
      <c r="L13" s="587"/>
      <c r="M13" s="587"/>
      <c r="N13" s="587"/>
      <c r="O13" s="587"/>
      <c r="P13" s="587"/>
      <c r="Q13" s="587"/>
      <c r="R13" s="587"/>
      <c r="S13" s="587"/>
      <c r="T13" s="587"/>
      <c r="U13" s="587"/>
      <c r="V13" s="587"/>
      <c r="W13" s="587"/>
      <c r="X13" s="587"/>
      <c r="Y13" s="587"/>
      <c r="Z13" s="587"/>
      <c r="AA13" s="587"/>
      <c r="AB13" s="587"/>
      <c r="AC13" s="587"/>
      <c r="AD13" s="588"/>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x14ac:dyDescent="0.3">
      <c r="A15" s="471" t="s">
        <v>17</v>
      </c>
      <c r="B15" s="472"/>
      <c r="C15" s="577" t="s">
        <v>18</v>
      </c>
      <c r="D15" s="578"/>
      <c r="E15" s="578"/>
      <c r="F15" s="578"/>
      <c r="G15" s="578"/>
      <c r="H15" s="578"/>
      <c r="I15" s="578"/>
      <c r="J15" s="578"/>
      <c r="K15" s="579"/>
      <c r="L15" s="484" t="s">
        <v>19</v>
      </c>
      <c r="M15" s="488"/>
      <c r="N15" s="488"/>
      <c r="O15" s="488"/>
      <c r="P15" s="488"/>
      <c r="Q15" s="485"/>
      <c r="R15" s="621" t="s">
        <v>20</v>
      </c>
      <c r="S15" s="622"/>
      <c r="T15" s="622"/>
      <c r="U15" s="622"/>
      <c r="V15" s="622"/>
      <c r="W15" s="622"/>
      <c r="X15" s="623"/>
      <c r="Y15" s="484" t="s">
        <v>21</v>
      </c>
      <c r="Z15" s="485"/>
      <c r="AA15" s="616" t="s">
        <v>105</v>
      </c>
      <c r="AB15" s="617"/>
      <c r="AC15" s="617"/>
      <c r="AD15" s="618"/>
    </row>
    <row r="16" spans="1:30" ht="9" customHeight="1" thickBot="1" x14ac:dyDescent="0.3">
      <c r="A16" s="59"/>
      <c r="B16" s="54"/>
      <c r="C16" s="470"/>
      <c r="D16" s="470"/>
      <c r="E16" s="470"/>
      <c r="F16" s="470"/>
      <c r="G16" s="470"/>
      <c r="H16" s="470"/>
      <c r="I16" s="470"/>
      <c r="J16" s="470"/>
      <c r="K16" s="470"/>
      <c r="L16" s="470"/>
      <c r="M16" s="470"/>
      <c r="N16" s="470"/>
      <c r="O16" s="470"/>
      <c r="P16" s="470"/>
      <c r="Q16" s="470"/>
      <c r="R16" s="470"/>
      <c r="S16" s="470"/>
      <c r="T16" s="470"/>
      <c r="U16" s="470"/>
      <c r="V16" s="470"/>
      <c r="W16" s="470"/>
      <c r="X16" s="470"/>
      <c r="Y16" s="470"/>
      <c r="Z16" s="470"/>
      <c r="AA16" s="470"/>
      <c r="AB16" s="470"/>
      <c r="AC16" s="73"/>
      <c r="AD16" s="74"/>
    </row>
    <row r="17" spans="1:41" s="214" customFormat="1" ht="37.5" customHeight="1" thickBot="1" x14ac:dyDescent="0.3">
      <c r="A17" s="471" t="s">
        <v>23</v>
      </c>
      <c r="B17" s="472"/>
      <c r="C17" s="574" t="s">
        <v>106</v>
      </c>
      <c r="D17" s="575"/>
      <c r="E17" s="575"/>
      <c r="F17" s="575"/>
      <c r="G17" s="575"/>
      <c r="H17" s="575"/>
      <c r="I17" s="575"/>
      <c r="J17" s="575"/>
      <c r="K17" s="575"/>
      <c r="L17" s="575"/>
      <c r="M17" s="575"/>
      <c r="N17" s="575"/>
      <c r="O17" s="575"/>
      <c r="P17" s="575"/>
      <c r="Q17" s="576"/>
      <c r="R17" s="484" t="s">
        <v>25</v>
      </c>
      <c r="S17" s="488"/>
      <c r="T17" s="488"/>
      <c r="U17" s="488"/>
      <c r="V17" s="485"/>
      <c r="W17" s="619">
        <v>1</v>
      </c>
      <c r="X17" s="620"/>
      <c r="Y17" s="488" t="s">
        <v>26</v>
      </c>
      <c r="Z17" s="488"/>
      <c r="AA17" s="488"/>
      <c r="AB17" s="485"/>
      <c r="AC17" s="476">
        <v>0.32</v>
      </c>
      <c r="AD17" s="477"/>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
      <c r="A19" s="484" t="s">
        <v>27</v>
      </c>
      <c r="B19" s="488"/>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5"/>
      <c r="AE19" s="215"/>
      <c r="AF19" s="215"/>
    </row>
    <row r="20" spans="1:41" ht="32.25" customHeight="1" thickBot="1" x14ac:dyDescent="0.3">
      <c r="A20" s="246"/>
      <c r="B20" s="58"/>
      <c r="C20" s="484" t="s">
        <v>28</v>
      </c>
      <c r="D20" s="488"/>
      <c r="E20" s="488"/>
      <c r="F20" s="488"/>
      <c r="G20" s="488"/>
      <c r="H20" s="488"/>
      <c r="I20" s="488"/>
      <c r="J20" s="488"/>
      <c r="K20" s="488"/>
      <c r="L20" s="488"/>
      <c r="M20" s="488"/>
      <c r="N20" s="488"/>
      <c r="O20" s="488"/>
      <c r="P20" s="485"/>
      <c r="Q20" s="484" t="s">
        <v>29</v>
      </c>
      <c r="R20" s="488"/>
      <c r="S20" s="488"/>
      <c r="T20" s="488"/>
      <c r="U20" s="488"/>
      <c r="V20" s="488"/>
      <c r="W20" s="488"/>
      <c r="X20" s="488"/>
      <c r="Y20" s="488"/>
      <c r="Z20" s="488"/>
      <c r="AA20" s="488"/>
      <c r="AB20" s="488"/>
      <c r="AC20" s="488"/>
      <c r="AD20" s="485"/>
      <c r="AE20" s="215"/>
      <c r="AF20" s="215"/>
    </row>
    <row r="21" spans="1:41" ht="32.25" customHeight="1" thickBot="1" x14ac:dyDescent="0.3">
      <c r="A21" s="59"/>
      <c r="B21" s="247"/>
      <c r="C21" s="324" t="s">
        <v>30</v>
      </c>
      <c r="D21" s="187" t="s">
        <v>31</v>
      </c>
      <c r="E21" s="187" t="s">
        <v>32</v>
      </c>
      <c r="F21" s="187" t="s">
        <v>33</v>
      </c>
      <c r="G21" s="187" t="s">
        <v>34</v>
      </c>
      <c r="H21" s="187" t="s">
        <v>35</v>
      </c>
      <c r="I21" s="187" t="s">
        <v>8</v>
      </c>
      <c r="J21" s="187" t="s">
        <v>36</v>
      </c>
      <c r="K21" s="187" t="s">
        <v>37</v>
      </c>
      <c r="L21" s="187" t="s">
        <v>38</v>
      </c>
      <c r="M21" s="187" t="s">
        <v>39</v>
      </c>
      <c r="N21" s="187" t="s">
        <v>40</v>
      </c>
      <c r="O21" s="187" t="s">
        <v>41</v>
      </c>
      <c r="P21" s="188" t="s">
        <v>42</v>
      </c>
      <c r="Q21" s="324" t="s">
        <v>30</v>
      </c>
      <c r="R21" s="187" t="s">
        <v>31</v>
      </c>
      <c r="S21" s="187" t="s">
        <v>32</v>
      </c>
      <c r="T21" s="187" t="s">
        <v>33</v>
      </c>
      <c r="U21" s="187" t="s">
        <v>34</v>
      </c>
      <c r="V21" s="187" t="s">
        <v>35</v>
      </c>
      <c r="W21" s="187" t="s">
        <v>8</v>
      </c>
      <c r="X21" s="187" t="s">
        <v>36</v>
      </c>
      <c r="Y21" s="187" t="s">
        <v>37</v>
      </c>
      <c r="Z21" s="187" t="s">
        <v>38</v>
      </c>
      <c r="AA21" s="187" t="s">
        <v>39</v>
      </c>
      <c r="AB21" s="187" t="s">
        <v>40</v>
      </c>
      <c r="AC21" s="187" t="s">
        <v>41</v>
      </c>
      <c r="AD21" s="188" t="s">
        <v>42</v>
      </c>
      <c r="AE21" s="216"/>
      <c r="AF21" s="216"/>
    </row>
    <row r="22" spans="1:41" ht="32.25" customHeight="1" x14ac:dyDescent="0.25">
      <c r="A22" s="180" t="s">
        <v>43</v>
      </c>
      <c r="B22" s="248"/>
      <c r="C22" s="239" t="s">
        <v>44</v>
      </c>
      <c r="D22" s="239" t="s">
        <v>44</v>
      </c>
      <c r="E22" s="239" t="s">
        <v>44</v>
      </c>
      <c r="F22" s="239" t="s">
        <v>44</v>
      </c>
      <c r="G22" s="239" t="s">
        <v>44</v>
      </c>
      <c r="H22" s="239" t="s">
        <v>44</v>
      </c>
      <c r="I22" s="239" t="s">
        <v>44</v>
      </c>
      <c r="J22" s="239" t="s">
        <v>44</v>
      </c>
      <c r="K22" s="239" t="s">
        <v>44</v>
      </c>
      <c r="L22" s="239" t="s">
        <v>44</v>
      </c>
      <c r="M22" s="239" t="s">
        <v>44</v>
      </c>
      <c r="N22" s="239" t="s">
        <v>44</v>
      </c>
      <c r="O22" s="239">
        <f>SUM(C22:N22)</f>
        <v>0</v>
      </c>
      <c r="P22" s="237"/>
      <c r="Q22" s="253">
        <f>957554700+667107.25+59650319+236900000+126150132</f>
        <v>1380922258.25</v>
      </c>
      <c r="R22" s="239">
        <f>664107.25+5000000</f>
        <v>5664107.25</v>
      </c>
      <c r="S22" s="239">
        <f>667108.25+66194448</f>
        <v>66861556.25</v>
      </c>
      <c r="T22" s="239">
        <f>10745152.4+667107.25+56000000+33941759</f>
        <v>101354018.65000001</v>
      </c>
      <c r="U22" s="239">
        <f>667111.25+40463381</f>
        <v>41130492.25</v>
      </c>
      <c r="V22" s="239">
        <v>667107.25</v>
      </c>
      <c r="W22" s="239">
        <v>667107.25</v>
      </c>
      <c r="X22" s="239">
        <v>667107.25</v>
      </c>
      <c r="Y22" s="239">
        <v>667107.25</v>
      </c>
      <c r="Z22" s="239">
        <f>667107.25+291180</f>
        <v>958287.25</v>
      </c>
      <c r="AA22" s="239">
        <v>667107.25</v>
      </c>
      <c r="AB22" s="241">
        <f>1621559303-Q22-R22-S22-T22-U22-V22-W22-X22-Y22-Z22-AA22</f>
        <v>21333046.849999994</v>
      </c>
      <c r="AC22" s="239">
        <f>SUM(Q22:AB22)</f>
        <v>1621559303</v>
      </c>
      <c r="AD22" s="235"/>
      <c r="AE22" s="216"/>
      <c r="AF22" s="216"/>
    </row>
    <row r="23" spans="1:41" ht="32.25" customHeight="1" x14ac:dyDescent="0.25">
      <c r="A23" s="181" t="s">
        <v>45</v>
      </c>
      <c r="B23" s="182"/>
      <c r="C23" s="238" t="s">
        <v>46</v>
      </c>
      <c r="D23" s="239" t="s">
        <v>46</v>
      </c>
      <c r="E23" s="239" t="s">
        <v>46</v>
      </c>
      <c r="F23" s="239" t="s">
        <v>46</v>
      </c>
      <c r="G23" s="239" t="s">
        <v>46</v>
      </c>
      <c r="H23" s="239" t="s">
        <v>46</v>
      </c>
      <c r="I23" s="239" t="s">
        <v>46</v>
      </c>
      <c r="J23" s="239" t="s">
        <v>46</v>
      </c>
      <c r="K23" s="239" t="s">
        <v>46</v>
      </c>
      <c r="L23" s="239" t="s">
        <v>46</v>
      </c>
      <c r="M23" s="239" t="s">
        <v>46</v>
      </c>
      <c r="N23" s="239" t="s">
        <v>46</v>
      </c>
      <c r="O23" s="241" t="s">
        <v>46</v>
      </c>
      <c r="P23" s="237"/>
      <c r="Q23" s="253">
        <v>1380262728</v>
      </c>
      <c r="R23" s="239">
        <f>1380498168-Q23</f>
        <v>235440</v>
      </c>
      <c r="S23" s="239">
        <f>1400439631-Q23-R23</f>
        <v>19941463</v>
      </c>
      <c r="T23" s="239">
        <v>52241207</v>
      </c>
      <c r="U23" s="239">
        <f>1473984181-Q23-R23-S23-T23</f>
        <v>21303343</v>
      </c>
      <c r="V23" s="239">
        <f>1566033518-Q23-R23-S23-T23-U23</f>
        <v>92049337</v>
      </c>
      <c r="W23" s="239">
        <f>1566728488-Q23-R23-S23-T23-U23-V23</f>
        <v>694970</v>
      </c>
      <c r="X23" s="239">
        <f>1567355948-Q23-R23-S23-T23-U23-V23-W23</f>
        <v>627460</v>
      </c>
      <c r="Y23" s="239">
        <f>1605498942-Q23-R23-S23-T23-U23-V23-W23-X23</f>
        <v>38142994</v>
      </c>
      <c r="Z23" s="239">
        <f>1606319107-Q23-R23-S23-T23-U23-V23-W23-X23-Y23</f>
        <v>820165</v>
      </c>
      <c r="AA23" s="239">
        <f>1609034113-Q23-R23-S23-T23-U23-V23-W23-X23-Y23-Z23</f>
        <v>2715006</v>
      </c>
      <c r="AB23" s="239">
        <f>1614777477-Q23-R23-S23-T23-U23-V23-W23-X23-Y23-Z23-AA23+2</f>
        <v>5743366</v>
      </c>
      <c r="AC23" s="239">
        <f t="shared" ref="AC23:AC25" si="0">SUM(Q23:AB23)</f>
        <v>1614777479</v>
      </c>
      <c r="AD23" s="283">
        <f>(SUM(Q23:AB23)/SUM(Q22:AB22))</f>
        <v>0.99581771447553402</v>
      </c>
      <c r="AE23" s="216"/>
      <c r="AF23" s="216"/>
    </row>
    <row r="24" spans="1:41" ht="32.25" customHeight="1" x14ac:dyDescent="0.25">
      <c r="A24" s="181" t="s">
        <v>47</v>
      </c>
      <c r="B24" s="182"/>
      <c r="C24" s="253" t="s">
        <v>44</v>
      </c>
      <c r="D24" s="241">
        <f>6500000+11749467+2086812+3833333+1500000</f>
        <v>25669612</v>
      </c>
      <c r="E24" s="241">
        <f>6500000+607175+2086812+42647+399000</f>
        <v>9635634</v>
      </c>
      <c r="F24" s="241">
        <f>6500000+2086812+5417183+400000+18271001</f>
        <v>32674996</v>
      </c>
      <c r="G24" s="241">
        <v>7606265</v>
      </c>
      <c r="H24" s="239" t="s">
        <v>44</v>
      </c>
      <c r="I24" s="239">
        <v>2682664</v>
      </c>
      <c r="J24" s="239">
        <v>0</v>
      </c>
      <c r="K24" s="239" t="s">
        <v>44</v>
      </c>
      <c r="L24" s="239" t="s">
        <v>44</v>
      </c>
      <c r="M24" s="239" t="s">
        <v>44</v>
      </c>
      <c r="N24" s="239" t="s">
        <v>44</v>
      </c>
      <c r="O24" s="272">
        <f t="shared" ref="O24:O25" si="1">SUM(C24:N24)</f>
        <v>78269171</v>
      </c>
      <c r="P24" s="277"/>
      <c r="Q24" s="278"/>
      <c r="R24" s="271">
        <v>83811561.5</v>
      </c>
      <c r="S24" s="272">
        <v>142387531.966667</v>
      </c>
      <c r="T24" s="272">
        <v>139532033.616667</v>
      </c>
      <c r="U24" s="272">
        <v>131653057.366667</v>
      </c>
      <c r="V24" s="272">
        <v>139532032.366667</v>
      </c>
      <c r="W24" s="271">
        <v>142482865.366667</v>
      </c>
      <c r="X24" s="271">
        <v>142032032.366667</v>
      </c>
      <c r="Y24" s="271">
        <v>140116455.366667</v>
      </c>
      <c r="Z24" s="271">
        <v>139532032.366667</v>
      </c>
      <c r="AA24" s="271">
        <v>139970865.366667</v>
      </c>
      <c r="AB24" s="241">
        <f>1621559303-Q24-R24-S24-T24-U24-V24-W24-X24-Y24-Z24-AA24</f>
        <v>280508835.34999681</v>
      </c>
      <c r="AC24" s="239">
        <f t="shared" si="0"/>
        <v>1621559303</v>
      </c>
      <c r="AD24" s="283"/>
      <c r="AE24" s="216"/>
      <c r="AF24" s="216"/>
      <c r="AG24" s="217"/>
    </row>
    <row r="25" spans="1:41" ht="32.25" customHeight="1" thickBot="1" x14ac:dyDescent="0.3">
      <c r="A25" s="183" t="s">
        <v>48</v>
      </c>
      <c r="B25" s="249"/>
      <c r="C25" s="254">
        <v>5753477</v>
      </c>
      <c r="D25" s="255">
        <f>10395702-C25</f>
        <v>4642225</v>
      </c>
      <c r="E25" s="255">
        <v>46449742</v>
      </c>
      <c r="F25" s="255">
        <v>9335758</v>
      </c>
      <c r="G25" s="255">
        <f>72733992-C25-D25-E25-F25</f>
        <v>6552790</v>
      </c>
      <c r="H25" s="276">
        <f>5042577+1+1</f>
        <v>5042579</v>
      </c>
      <c r="I25" s="255">
        <v>0</v>
      </c>
      <c r="J25" s="255">
        <v>0</v>
      </c>
      <c r="K25" s="255" t="s">
        <v>44</v>
      </c>
      <c r="L25" s="255">
        <v>492600</v>
      </c>
      <c r="M25" s="255" t="s">
        <v>44</v>
      </c>
      <c r="N25" s="255" t="s">
        <v>44</v>
      </c>
      <c r="O25" s="276">
        <f t="shared" si="1"/>
        <v>78269171</v>
      </c>
      <c r="P25" s="282">
        <f>(SUM(C25:L25)/SUM(C24:L24))</f>
        <v>1</v>
      </c>
      <c r="Q25" s="254">
        <v>320152</v>
      </c>
      <c r="R25" s="255">
        <f>50674251-Q25</f>
        <v>50354099</v>
      </c>
      <c r="S25" s="255">
        <v>137896661</v>
      </c>
      <c r="T25" s="255">
        <v>140772296</v>
      </c>
      <c r="U25" s="255">
        <f>442387201-Q25-R25-S25-T25</f>
        <v>113043993</v>
      </c>
      <c r="V25" s="255">
        <f>587105423-Q25-R25-S25-T25-U25</f>
        <v>144718222</v>
      </c>
      <c r="W25" s="255">
        <f>732361027-Q25-R25-S25-T25-U25-V25</f>
        <v>145255604</v>
      </c>
      <c r="X25" s="255">
        <f>866133597-Q25-R25-S25-T25-U25-V25-W25</f>
        <v>133772570</v>
      </c>
      <c r="Y25" s="255">
        <f>1028136087-Q25-R25-S25-T25-U25-V25-W25-X25</f>
        <v>162002490</v>
      </c>
      <c r="Z25" s="255">
        <f>1173396932-Q25-R25-S25-T25-U25-V25-W25-X25-Y25</f>
        <v>145260845</v>
      </c>
      <c r="AA25" s="255">
        <f>1322330123-Q25-R25-S25-T25-U25-V25-W25-X25-Y25-Z25</f>
        <v>148933191</v>
      </c>
      <c r="AB25" s="255">
        <f>1559015987-Q25-R25-S25-T25-U25-V25-W25-X25-Y25-Z25-AA25</f>
        <v>236685864</v>
      </c>
      <c r="AC25" s="255">
        <f t="shared" si="0"/>
        <v>1559015987</v>
      </c>
      <c r="AD25" s="282">
        <f>(SUM(Q25:AA25)/SUM(Q24:AA24))</f>
        <v>0.9860405368018641</v>
      </c>
      <c r="AE25" s="216"/>
      <c r="AF25" s="216"/>
      <c r="AG25" s="217"/>
    </row>
    <row r="26" spans="1:41" ht="32.25" customHeight="1" thickBot="1" x14ac:dyDescent="0.3">
      <c r="A26" s="59"/>
      <c r="B26" s="54"/>
      <c r="C26" s="80"/>
      <c r="D26" s="80"/>
      <c r="E26" s="80"/>
      <c r="F26" s="80"/>
      <c r="G26" s="80"/>
      <c r="H26" s="80"/>
      <c r="I26" s="80"/>
      <c r="J26" s="268"/>
      <c r="K26" s="268"/>
      <c r="L26" s="268"/>
      <c r="M26" s="80"/>
      <c r="N26" s="80"/>
      <c r="O26" s="268"/>
      <c r="P26" s="268"/>
      <c r="Q26" s="80"/>
      <c r="R26" s="80"/>
      <c r="S26" s="80"/>
      <c r="T26" s="80"/>
      <c r="U26" s="80"/>
      <c r="V26" s="80"/>
      <c r="W26" s="80"/>
      <c r="X26" s="80"/>
      <c r="Y26" s="80"/>
      <c r="Z26" s="80"/>
      <c r="AA26" s="80"/>
      <c r="AB26" s="80"/>
      <c r="AC26" s="60"/>
      <c r="AD26" s="155"/>
    </row>
    <row r="27" spans="1:41" ht="33.950000000000003" customHeight="1" x14ac:dyDescent="0.25">
      <c r="A27" s="463" t="s">
        <v>49</v>
      </c>
      <c r="B27" s="464"/>
      <c r="C27" s="465"/>
      <c r="D27" s="465"/>
      <c r="E27" s="465"/>
      <c r="F27" s="465"/>
      <c r="G27" s="465"/>
      <c r="H27" s="465"/>
      <c r="I27" s="465"/>
      <c r="J27" s="465"/>
      <c r="K27" s="465"/>
      <c r="L27" s="465"/>
      <c r="M27" s="465"/>
      <c r="N27" s="465"/>
      <c r="O27" s="465"/>
      <c r="P27" s="465"/>
      <c r="Q27" s="465"/>
      <c r="R27" s="465"/>
      <c r="S27" s="465"/>
      <c r="T27" s="465"/>
      <c r="U27" s="465"/>
      <c r="V27" s="465"/>
      <c r="W27" s="465"/>
      <c r="X27" s="465"/>
      <c r="Y27" s="465"/>
      <c r="Z27" s="465"/>
      <c r="AA27" s="465"/>
      <c r="AB27" s="465"/>
      <c r="AC27" s="465"/>
      <c r="AD27" s="466"/>
      <c r="AF27" s="217"/>
    </row>
    <row r="28" spans="1:41" ht="15" customHeight="1" x14ac:dyDescent="0.25">
      <c r="A28" s="458" t="s">
        <v>50</v>
      </c>
      <c r="B28" s="460" t="s">
        <v>51</v>
      </c>
      <c r="C28" s="461"/>
      <c r="D28" s="423" t="s">
        <v>52</v>
      </c>
      <c r="E28" s="424"/>
      <c r="F28" s="424"/>
      <c r="G28" s="424"/>
      <c r="H28" s="424"/>
      <c r="I28" s="424"/>
      <c r="J28" s="424"/>
      <c r="K28" s="424"/>
      <c r="L28" s="424"/>
      <c r="M28" s="424"/>
      <c r="N28" s="424"/>
      <c r="O28" s="462"/>
      <c r="P28" s="451" t="s">
        <v>41</v>
      </c>
      <c r="Q28" s="451" t="s">
        <v>53</v>
      </c>
      <c r="R28" s="451"/>
      <c r="S28" s="451"/>
      <c r="T28" s="451"/>
      <c r="U28" s="451"/>
      <c r="V28" s="451"/>
      <c r="W28" s="451"/>
      <c r="X28" s="451"/>
      <c r="Y28" s="451"/>
      <c r="Z28" s="451"/>
      <c r="AA28" s="451"/>
      <c r="AB28" s="451"/>
      <c r="AC28" s="451"/>
      <c r="AD28" s="453"/>
    </row>
    <row r="29" spans="1:41" ht="27" customHeight="1" x14ac:dyDescent="0.25">
      <c r="A29" s="459"/>
      <c r="B29" s="454"/>
      <c r="C29" s="456"/>
      <c r="D29" s="88" t="s">
        <v>30</v>
      </c>
      <c r="E29" s="88" t="s">
        <v>31</v>
      </c>
      <c r="F29" s="88" t="s">
        <v>32</v>
      </c>
      <c r="G29" s="88" t="s">
        <v>33</v>
      </c>
      <c r="H29" s="88" t="s">
        <v>34</v>
      </c>
      <c r="I29" s="88" t="s">
        <v>35</v>
      </c>
      <c r="J29" s="88" t="s">
        <v>8</v>
      </c>
      <c r="K29" s="88" t="s">
        <v>36</v>
      </c>
      <c r="L29" s="88" t="s">
        <v>37</v>
      </c>
      <c r="M29" s="88" t="s">
        <v>38</v>
      </c>
      <c r="N29" s="88" t="s">
        <v>39</v>
      </c>
      <c r="O29" s="88" t="s">
        <v>40</v>
      </c>
      <c r="P29" s="462"/>
      <c r="Q29" s="451"/>
      <c r="R29" s="451"/>
      <c r="S29" s="451"/>
      <c r="T29" s="451"/>
      <c r="U29" s="451"/>
      <c r="V29" s="451"/>
      <c r="W29" s="451"/>
      <c r="X29" s="451"/>
      <c r="Y29" s="451"/>
      <c r="Z29" s="451"/>
      <c r="AA29" s="451"/>
      <c r="AB29" s="451"/>
      <c r="AC29" s="451"/>
      <c r="AD29" s="453"/>
    </row>
    <row r="30" spans="1:41" ht="42" customHeight="1" thickBot="1" x14ac:dyDescent="0.3">
      <c r="A30" s="85" t="s">
        <v>107</v>
      </c>
      <c r="B30" s="572"/>
      <c r="C30" s="573"/>
      <c r="D30" s="89"/>
      <c r="E30" s="89"/>
      <c r="F30" s="89"/>
      <c r="G30" s="89"/>
      <c r="H30" s="89"/>
      <c r="I30" s="89"/>
      <c r="J30" s="89"/>
      <c r="K30" s="89"/>
      <c r="L30" s="89"/>
      <c r="M30" s="89"/>
      <c r="N30" s="89"/>
      <c r="O30" s="89"/>
      <c r="P30" s="86">
        <f>SUM(D30:O30)</f>
        <v>0</v>
      </c>
      <c r="Q30" s="446" t="s">
        <v>542</v>
      </c>
      <c r="R30" s="446"/>
      <c r="S30" s="446"/>
      <c r="T30" s="446"/>
      <c r="U30" s="446"/>
      <c r="V30" s="446"/>
      <c r="W30" s="446"/>
      <c r="X30" s="446"/>
      <c r="Y30" s="446"/>
      <c r="Z30" s="446"/>
      <c r="AA30" s="446"/>
      <c r="AB30" s="446"/>
      <c r="AC30" s="446"/>
      <c r="AD30" s="447"/>
    </row>
    <row r="31" spans="1:41" ht="45" customHeight="1" x14ac:dyDescent="0.25">
      <c r="A31" s="448" t="s">
        <v>55</v>
      </c>
      <c r="B31" s="449"/>
      <c r="C31" s="449"/>
      <c r="D31" s="449"/>
      <c r="E31" s="449"/>
      <c r="F31" s="449"/>
      <c r="G31" s="449"/>
      <c r="H31" s="449"/>
      <c r="I31" s="449"/>
      <c r="J31" s="449"/>
      <c r="K31" s="449"/>
      <c r="L31" s="449"/>
      <c r="M31" s="449"/>
      <c r="N31" s="449"/>
      <c r="O31" s="449"/>
      <c r="P31" s="449"/>
      <c r="Q31" s="449"/>
      <c r="R31" s="449"/>
      <c r="S31" s="449"/>
      <c r="T31" s="449"/>
      <c r="U31" s="449"/>
      <c r="V31" s="449"/>
      <c r="W31" s="449"/>
      <c r="X31" s="449"/>
      <c r="Y31" s="449"/>
      <c r="Z31" s="449"/>
      <c r="AA31" s="449"/>
      <c r="AB31" s="449"/>
      <c r="AC31" s="449"/>
      <c r="AD31" s="450"/>
    </row>
    <row r="32" spans="1:41" ht="23.25" customHeight="1" x14ac:dyDescent="0.25">
      <c r="A32" s="416" t="s">
        <v>56</v>
      </c>
      <c r="B32" s="451" t="s">
        <v>57</v>
      </c>
      <c r="C32" s="451" t="s">
        <v>51</v>
      </c>
      <c r="D32" s="451" t="s">
        <v>58</v>
      </c>
      <c r="E32" s="451"/>
      <c r="F32" s="451"/>
      <c r="G32" s="451"/>
      <c r="H32" s="451"/>
      <c r="I32" s="451"/>
      <c r="J32" s="451"/>
      <c r="K32" s="451"/>
      <c r="L32" s="451"/>
      <c r="M32" s="451"/>
      <c r="N32" s="451"/>
      <c r="O32" s="451"/>
      <c r="P32" s="451"/>
      <c r="Q32" s="451" t="s">
        <v>59</v>
      </c>
      <c r="R32" s="451"/>
      <c r="S32" s="451"/>
      <c r="T32" s="451"/>
      <c r="U32" s="451"/>
      <c r="V32" s="451"/>
      <c r="W32" s="451"/>
      <c r="X32" s="451"/>
      <c r="Y32" s="451"/>
      <c r="Z32" s="451"/>
      <c r="AA32" s="451"/>
      <c r="AB32" s="451"/>
      <c r="AC32" s="451"/>
      <c r="AD32" s="453"/>
      <c r="AG32" s="218"/>
      <c r="AH32" s="218"/>
      <c r="AI32" s="218"/>
      <c r="AJ32" s="218"/>
      <c r="AK32" s="218"/>
      <c r="AL32" s="218"/>
      <c r="AM32" s="218"/>
      <c r="AN32" s="218"/>
      <c r="AO32" s="218"/>
    </row>
    <row r="33" spans="1:41" ht="23.25" customHeight="1" x14ac:dyDescent="0.25">
      <c r="A33" s="416"/>
      <c r="B33" s="451"/>
      <c r="C33" s="452"/>
      <c r="D33" s="88" t="s">
        <v>30</v>
      </c>
      <c r="E33" s="88" t="s">
        <v>31</v>
      </c>
      <c r="F33" s="88" t="s">
        <v>32</v>
      </c>
      <c r="G33" s="88" t="s">
        <v>33</v>
      </c>
      <c r="H33" s="88" t="s">
        <v>34</v>
      </c>
      <c r="I33" s="88" t="s">
        <v>35</v>
      </c>
      <c r="J33" s="88" t="s">
        <v>8</v>
      </c>
      <c r="K33" s="88" t="s">
        <v>36</v>
      </c>
      <c r="L33" s="88" t="s">
        <v>37</v>
      </c>
      <c r="M33" s="88" t="s">
        <v>38</v>
      </c>
      <c r="N33" s="88" t="s">
        <v>39</v>
      </c>
      <c r="O33" s="88" t="s">
        <v>40</v>
      </c>
      <c r="P33" s="88" t="s">
        <v>41</v>
      </c>
      <c r="Q33" s="454" t="s">
        <v>60</v>
      </c>
      <c r="R33" s="455"/>
      <c r="S33" s="455"/>
      <c r="T33" s="455"/>
      <c r="U33" s="455"/>
      <c r="V33" s="456"/>
      <c r="W33" s="454" t="s">
        <v>61</v>
      </c>
      <c r="X33" s="455"/>
      <c r="Y33" s="455"/>
      <c r="Z33" s="456"/>
      <c r="AA33" s="454" t="s">
        <v>62</v>
      </c>
      <c r="AB33" s="455"/>
      <c r="AC33" s="455"/>
      <c r="AD33" s="457"/>
      <c r="AG33" s="218"/>
      <c r="AH33" s="218"/>
      <c r="AI33" s="218"/>
      <c r="AJ33" s="218"/>
      <c r="AK33" s="218"/>
      <c r="AL33" s="218"/>
      <c r="AM33" s="218"/>
      <c r="AN33" s="218"/>
      <c r="AO33" s="218"/>
    </row>
    <row r="34" spans="1:41" ht="128.25" customHeight="1" x14ac:dyDescent="0.25">
      <c r="A34" s="426" t="s">
        <v>107</v>
      </c>
      <c r="B34" s="428">
        <f>SUM(B38+B40+B42+B44)</f>
        <v>0.32000000000000006</v>
      </c>
      <c r="C34" s="90" t="s">
        <v>63</v>
      </c>
      <c r="D34" s="206">
        <f>D69</f>
        <v>7.6250000000000026E-2</v>
      </c>
      <c r="E34" s="206">
        <f t="shared" ref="E34:O34" si="2">E69</f>
        <v>9.0625000000000025E-2</v>
      </c>
      <c r="F34" s="206">
        <f t="shared" si="2"/>
        <v>9.0625000000000025E-2</v>
      </c>
      <c r="G34" s="206">
        <f t="shared" si="2"/>
        <v>9.0625000000000025E-2</v>
      </c>
      <c r="H34" s="206">
        <f t="shared" si="2"/>
        <v>9.0625000000000025E-2</v>
      </c>
      <c r="I34" s="206">
        <f t="shared" si="2"/>
        <v>8.0625000000000016E-2</v>
      </c>
      <c r="J34" s="206">
        <f t="shared" si="2"/>
        <v>8.0625000000000016E-2</v>
      </c>
      <c r="K34" s="206">
        <f t="shared" si="2"/>
        <v>8.0625000000000016E-2</v>
      </c>
      <c r="L34" s="206">
        <f t="shared" si="2"/>
        <v>8.0625000000000016E-2</v>
      </c>
      <c r="M34" s="206">
        <f t="shared" si="2"/>
        <v>8.0625000000000016E-2</v>
      </c>
      <c r="N34" s="206">
        <f t="shared" si="2"/>
        <v>8.0625000000000016E-2</v>
      </c>
      <c r="O34" s="206">
        <f t="shared" si="2"/>
        <v>7.7500000000000013E-2</v>
      </c>
      <c r="P34" s="207">
        <f>SUM(D34:O34)</f>
        <v>1.0000000000000004</v>
      </c>
      <c r="Q34" s="608" t="s">
        <v>589</v>
      </c>
      <c r="R34" s="609"/>
      <c r="S34" s="609"/>
      <c r="T34" s="609"/>
      <c r="U34" s="609"/>
      <c r="V34" s="610"/>
      <c r="W34" s="608" t="s">
        <v>557</v>
      </c>
      <c r="X34" s="609"/>
      <c r="Y34" s="609"/>
      <c r="Z34" s="610"/>
      <c r="AA34" s="608" t="s">
        <v>108</v>
      </c>
      <c r="AB34" s="609"/>
      <c r="AC34" s="609"/>
      <c r="AD34" s="614"/>
      <c r="AG34" s="218"/>
      <c r="AH34" s="218"/>
      <c r="AI34" s="218"/>
      <c r="AJ34" s="218"/>
      <c r="AK34" s="218"/>
      <c r="AL34" s="218"/>
      <c r="AM34" s="218"/>
      <c r="AN34" s="218"/>
      <c r="AO34" s="218"/>
    </row>
    <row r="35" spans="1:41" ht="128.25" customHeight="1" thickBot="1" x14ac:dyDescent="0.3">
      <c r="A35" s="427"/>
      <c r="B35" s="429"/>
      <c r="C35" s="91" t="s">
        <v>64</v>
      </c>
      <c r="D35" s="210">
        <f>D66</f>
        <v>7.6250000000000026E-2</v>
      </c>
      <c r="E35" s="210">
        <f t="shared" ref="E35:O35" si="3">E66</f>
        <v>9.0625000000000025E-2</v>
      </c>
      <c r="F35" s="210">
        <f t="shared" si="3"/>
        <v>9.0625000000000025E-2</v>
      </c>
      <c r="G35" s="210">
        <f t="shared" si="3"/>
        <v>9.0625000000000025E-2</v>
      </c>
      <c r="H35" s="210">
        <f t="shared" si="3"/>
        <v>9.0625000000000025E-2</v>
      </c>
      <c r="I35" s="210">
        <f t="shared" si="3"/>
        <v>8.0625000000000016E-2</v>
      </c>
      <c r="J35" s="210">
        <f t="shared" si="3"/>
        <v>8.0625000000000016E-2</v>
      </c>
      <c r="K35" s="210">
        <f t="shared" si="3"/>
        <v>8.0625000000000016E-2</v>
      </c>
      <c r="L35" s="210">
        <f t="shared" si="3"/>
        <v>7.5000000000000025E-2</v>
      </c>
      <c r="M35" s="210">
        <f t="shared" si="3"/>
        <v>8.0625000000000016E-2</v>
      </c>
      <c r="N35" s="210">
        <f t="shared" si="3"/>
        <v>8.0625000000000016E-2</v>
      </c>
      <c r="O35" s="210">
        <f t="shared" si="3"/>
        <v>8.3125000000000018E-2</v>
      </c>
      <c r="P35" s="208">
        <f>SUM(D35:O35)</f>
        <v>1.0000000000000004</v>
      </c>
      <c r="Q35" s="611"/>
      <c r="R35" s="612"/>
      <c r="S35" s="612"/>
      <c r="T35" s="612"/>
      <c r="U35" s="612"/>
      <c r="V35" s="613"/>
      <c r="W35" s="611"/>
      <c r="X35" s="612"/>
      <c r="Y35" s="612"/>
      <c r="Z35" s="613"/>
      <c r="AA35" s="611"/>
      <c r="AB35" s="612"/>
      <c r="AC35" s="612"/>
      <c r="AD35" s="615"/>
      <c r="AE35" s="219"/>
      <c r="AG35" s="218"/>
      <c r="AH35" s="218"/>
      <c r="AI35" s="218"/>
      <c r="AJ35" s="218"/>
      <c r="AK35" s="218"/>
      <c r="AL35" s="218"/>
      <c r="AM35" s="218"/>
      <c r="AN35" s="218"/>
      <c r="AO35" s="218"/>
    </row>
    <row r="36" spans="1:41" ht="26.25" customHeight="1" x14ac:dyDescent="0.25">
      <c r="A36" s="448" t="s">
        <v>65</v>
      </c>
      <c r="B36" s="417" t="s">
        <v>66</v>
      </c>
      <c r="C36" s="419" t="s">
        <v>67</v>
      </c>
      <c r="D36" s="419"/>
      <c r="E36" s="419"/>
      <c r="F36" s="419"/>
      <c r="G36" s="419"/>
      <c r="H36" s="419"/>
      <c r="I36" s="419"/>
      <c r="J36" s="419"/>
      <c r="K36" s="419"/>
      <c r="L36" s="419"/>
      <c r="M36" s="419"/>
      <c r="N36" s="419"/>
      <c r="O36" s="419"/>
      <c r="P36" s="419"/>
      <c r="Q36" s="420" t="s">
        <v>68</v>
      </c>
      <c r="R36" s="421"/>
      <c r="S36" s="421"/>
      <c r="T36" s="421"/>
      <c r="U36" s="421"/>
      <c r="V36" s="421"/>
      <c r="W36" s="421"/>
      <c r="X36" s="421"/>
      <c r="Y36" s="421"/>
      <c r="Z36" s="421"/>
      <c r="AA36" s="421"/>
      <c r="AB36" s="421"/>
      <c r="AC36" s="421"/>
      <c r="AD36" s="422"/>
      <c r="AG36" s="218"/>
      <c r="AH36" s="218"/>
      <c r="AI36" s="218"/>
      <c r="AJ36" s="218"/>
      <c r="AK36" s="218"/>
      <c r="AL36" s="218"/>
      <c r="AM36" s="218"/>
      <c r="AN36" s="218"/>
      <c r="AO36" s="218"/>
    </row>
    <row r="37" spans="1:41" ht="26.25" customHeight="1" thickBot="1" x14ac:dyDescent="0.3">
      <c r="A37" s="571"/>
      <c r="B37" s="605"/>
      <c r="C37" s="172" t="s">
        <v>69</v>
      </c>
      <c r="D37" s="172" t="s">
        <v>70</v>
      </c>
      <c r="E37" s="172" t="s">
        <v>71</v>
      </c>
      <c r="F37" s="172" t="s">
        <v>72</v>
      </c>
      <c r="G37" s="172" t="s">
        <v>73</v>
      </c>
      <c r="H37" s="172" t="s">
        <v>74</v>
      </c>
      <c r="I37" s="172" t="s">
        <v>75</v>
      </c>
      <c r="J37" s="172" t="s">
        <v>76</v>
      </c>
      <c r="K37" s="172" t="s">
        <v>77</v>
      </c>
      <c r="L37" s="172" t="s">
        <v>78</v>
      </c>
      <c r="M37" s="172" t="s">
        <v>79</v>
      </c>
      <c r="N37" s="172" t="s">
        <v>80</v>
      </c>
      <c r="O37" s="172" t="s">
        <v>81</v>
      </c>
      <c r="P37" s="172" t="s">
        <v>82</v>
      </c>
      <c r="Q37" s="460" t="s">
        <v>83</v>
      </c>
      <c r="R37" s="606"/>
      <c r="S37" s="606"/>
      <c r="T37" s="606"/>
      <c r="U37" s="606"/>
      <c r="V37" s="606"/>
      <c r="W37" s="606"/>
      <c r="X37" s="606"/>
      <c r="Y37" s="606"/>
      <c r="Z37" s="606"/>
      <c r="AA37" s="606"/>
      <c r="AB37" s="606"/>
      <c r="AC37" s="606"/>
      <c r="AD37" s="607"/>
      <c r="AG37" s="220"/>
      <c r="AH37" s="220"/>
      <c r="AI37" s="220"/>
      <c r="AJ37" s="220"/>
      <c r="AK37" s="220"/>
      <c r="AL37" s="220"/>
      <c r="AM37" s="220"/>
      <c r="AN37" s="220"/>
      <c r="AO37" s="220"/>
    </row>
    <row r="38" spans="1:41" ht="198" customHeight="1" x14ac:dyDescent="0.25">
      <c r="A38" s="589" t="s">
        <v>109</v>
      </c>
      <c r="B38" s="591">
        <v>0.1</v>
      </c>
      <c r="C38" s="173" t="s">
        <v>63</v>
      </c>
      <c r="D38" s="275">
        <v>0.08</v>
      </c>
      <c r="E38" s="275">
        <v>0.09</v>
      </c>
      <c r="F38" s="275">
        <v>0.09</v>
      </c>
      <c r="G38" s="275">
        <v>0.09</v>
      </c>
      <c r="H38" s="275">
        <v>0.09</v>
      </c>
      <c r="I38" s="275">
        <v>0.08</v>
      </c>
      <c r="J38" s="275">
        <v>0.08</v>
      </c>
      <c r="K38" s="275">
        <v>0.08</v>
      </c>
      <c r="L38" s="275">
        <v>0.08</v>
      </c>
      <c r="M38" s="275">
        <v>0.08</v>
      </c>
      <c r="N38" s="275">
        <v>0.08</v>
      </c>
      <c r="O38" s="275">
        <v>0.08</v>
      </c>
      <c r="P38" s="174">
        <f t="shared" ref="P38:P45" si="4">SUM(D38:O38)</f>
        <v>0.99999999999999967</v>
      </c>
      <c r="Q38" s="599" t="s">
        <v>592</v>
      </c>
      <c r="R38" s="600"/>
      <c r="S38" s="600"/>
      <c r="T38" s="600"/>
      <c r="U38" s="600"/>
      <c r="V38" s="600"/>
      <c r="W38" s="600"/>
      <c r="X38" s="600"/>
      <c r="Y38" s="600"/>
      <c r="Z38" s="600"/>
      <c r="AA38" s="600"/>
      <c r="AB38" s="600"/>
      <c r="AC38" s="600"/>
      <c r="AD38" s="601"/>
      <c r="AE38" s="97"/>
      <c r="AG38" s="221"/>
      <c r="AH38" s="221"/>
      <c r="AI38" s="221"/>
      <c r="AJ38" s="221"/>
      <c r="AK38" s="221"/>
      <c r="AL38" s="221"/>
      <c r="AM38" s="221"/>
      <c r="AN38" s="221"/>
      <c r="AO38" s="221"/>
    </row>
    <row r="39" spans="1:41" ht="198" customHeight="1" x14ac:dyDescent="0.25">
      <c r="A39" s="590"/>
      <c r="B39" s="563"/>
      <c r="C39" s="273" t="s">
        <v>64</v>
      </c>
      <c r="D39" s="100">
        <v>0.08</v>
      </c>
      <c r="E39" s="100">
        <v>0.09</v>
      </c>
      <c r="F39" s="100">
        <v>0.09</v>
      </c>
      <c r="G39" s="100">
        <v>0.09</v>
      </c>
      <c r="H39" s="100">
        <v>0.09</v>
      </c>
      <c r="I39" s="100">
        <v>0.08</v>
      </c>
      <c r="J39" s="100">
        <v>0.08</v>
      </c>
      <c r="K39" s="100">
        <v>0.08</v>
      </c>
      <c r="L39" s="100">
        <v>0.08</v>
      </c>
      <c r="M39" s="100">
        <v>0.08</v>
      </c>
      <c r="N39" s="100">
        <v>0.08</v>
      </c>
      <c r="O39" s="357">
        <v>0.08</v>
      </c>
      <c r="P39" s="101">
        <f t="shared" si="4"/>
        <v>0.99999999999999967</v>
      </c>
      <c r="Q39" s="602"/>
      <c r="R39" s="603"/>
      <c r="S39" s="603"/>
      <c r="T39" s="603"/>
      <c r="U39" s="603"/>
      <c r="V39" s="603"/>
      <c r="W39" s="603"/>
      <c r="X39" s="603"/>
      <c r="Y39" s="603"/>
      <c r="Z39" s="603"/>
      <c r="AA39" s="603"/>
      <c r="AB39" s="603"/>
      <c r="AC39" s="603"/>
      <c r="AD39" s="604"/>
      <c r="AE39" s="97"/>
    </row>
    <row r="40" spans="1:41" ht="38.25" customHeight="1" x14ac:dyDescent="0.25">
      <c r="A40" s="590" t="s">
        <v>110</v>
      </c>
      <c r="B40" s="594">
        <v>0.1</v>
      </c>
      <c r="C40" s="274" t="s">
        <v>63</v>
      </c>
      <c r="D40" s="322">
        <v>0.08</v>
      </c>
      <c r="E40" s="322">
        <v>0.09</v>
      </c>
      <c r="F40" s="322">
        <v>0.09</v>
      </c>
      <c r="G40" s="322">
        <v>0.09</v>
      </c>
      <c r="H40" s="322">
        <v>0.09</v>
      </c>
      <c r="I40" s="322">
        <v>0.08</v>
      </c>
      <c r="J40" s="322">
        <v>0.08</v>
      </c>
      <c r="K40" s="322">
        <v>0.08</v>
      </c>
      <c r="L40" s="322">
        <v>0.08</v>
      </c>
      <c r="M40" s="322">
        <v>0.08</v>
      </c>
      <c r="N40" s="322">
        <v>0.08</v>
      </c>
      <c r="O40" s="322">
        <v>0.08</v>
      </c>
      <c r="P40" s="101">
        <f t="shared" si="4"/>
        <v>0.99999999999999967</v>
      </c>
      <c r="Q40" s="411" t="s">
        <v>556</v>
      </c>
      <c r="R40" s="406"/>
      <c r="S40" s="406"/>
      <c r="T40" s="406"/>
      <c r="U40" s="406"/>
      <c r="V40" s="406"/>
      <c r="W40" s="406"/>
      <c r="X40" s="406"/>
      <c r="Y40" s="406"/>
      <c r="Z40" s="406"/>
      <c r="AA40" s="406"/>
      <c r="AB40" s="406"/>
      <c r="AC40" s="406"/>
      <c r="AD40" s="407"/>
      <c r="AE40" s="97"/>
    </row>
    <row r="41" spans="1:41" ht="38.25" customHeight="1" x14ac:dyDescent="0.25">
      <c r="A41" s="590"/>
      <c r="B41" s="563"/>
      <c r="C41" s="273" t="s">
        <v>64</v>
      </c>
      <c r="D41" s="100">
        <v>0.08</v>
      </c>
      <c r="E41" s="100">
        <v>0.09</v>
      </c>
      <c r="F41" s="100">
        <v>0.09</v>
      </c>
      <c r="G41" s="100">
        <v>0.09</v>
      </c>
      <c r="H41" s="100">
        <v>0.09</v>
      </c>
      <c r="I41" s="100">
        <v>0.08</v>
      </c>
      <c r="J41" s="100">
        <v>0.08</v>
      </c>
      <c r="K41" s="100">
        <v>0.08</v>
      </c>
      <c r="L41" s="104">
        <v>0.08</v>
      </c>
      <c r="M41" s="104">
        <v>0.08</v>
      </c>
      <c r="N41" s="104">
        <v>0.08</v>
      </c>
      <c r="O41" s="358">
        <v>0.08</v>
      </c>
      <c r="P41" s="101">
        <f t="shared" si="4"/>
        <v>0.99999999999999967</v>
      </c>
      <c r="Q41" s="412"/>
      <c r="R41" s="413"/>
      <c r="S41" s="413"/>
      <c r="T41" s="413"/>
      <c r="U41" s="413"/>
      <c r="V41" s="413"/>
      <c r="W41" s="413"/>
      <c r="X41" s="413"/>
      <c r="Y41" s="413"/>
      <c r="Z41" s="413"/>
      <c r="AA41" s="413"/>
      <c r="AB41" s="413"/>
      <c r="AC41" s="413"/>
      <c r="AD41" s="414"/>
      <c r="AE41" s="97"/>
    </row>
    <row r="42" spans="1:41" ht="106.5" customHeight="1" x14ac:dyDescent="0.25">
      <c r="A42" s="590" t="s">
        <v>111</v>
      </c>
      <c r="B42" s="594">
        <v>0.1</v>
      </c>
      <c r="C42" s="274" t="s">
        <v>63</v>
      </c>
      <c r="D42" s="322">
        <v>0.08</v>
      </c>
      <c r="E42" s="322">
        <v>0.09</v>
      </c>
      <c r="F42" s="322">
        <v>0.09</v>
      </c>
      <c r="G42" s="322">
        <v>0.09</v>
      </c>
      <c r="H42" s="322">
        <v>0.09</v>
      </c>
      <c r="I42" s="322">
        <v>0.08</v>
      </c>
      <c r="J42" s="322">
        <v>0.08</v>
      </c>
      <c r="K42" s="322">
        <v>0.08</v>
      </c>
      <c r="L42" s="322">
        <v>0.08</v>
      </c>
      <c r="M42" s="322">
        <v>0.08</v>
      </c>
      <c r="N42" s="322">
        <v>0.08</v>
      </c>
      <c r="O42" s="322">
        <v>0.08</v>
      </c>
      <c r="P42" s="101">
        <f t="shared" si="4"/>
        <v>0.99999999999999967</v>
      </c>
      <c r="Q42" s="411" t="s">
        <v>590</v>
      </c>
      <c r="R42" s="406"/>
      <c r="S42" s="406"/>
      <c r="T42" s="406"/>
      <c r="U42" s="406"/>
      <c r="V42" s="406"/>
      <c r="W42" s="406"/>
      <c r="X42" s="406"/>
      <c r="Y42" s="406"/>
      <c r="Z42" s="406"/>
      <c r="AA42" s="406"/>
      <c r="AB42" s="406"/>
      <c r="AC42" s="406"/>
      <c r="AD42" s="407"/>
      <c r="AE42" s="97"/>
    </row>
    <row r="43" spans="1:41" ht="106.5" customHeight="1" x14ac:dyDescent="0.25">
      <c r="A43" s="590"/>
      <c r="B43" s="563"/>
      <c r="C43" s="273" t="s">
        <v>64</v>
      </c>
      <c r="D43" s="100">
        <v>0.08</v>
      </c>
      <c r="E43" s="100">
        <v>0.09</v>
      </c>
      <c r="F43" s="100">
        <v>0.09</v>
      </c>
      <c r="G43" s="100">
        <v>0.09</v>
      </c>
      <c r="H43" s="100">
        <v>0.09</v>
      </c>
      <c r="I43" s="100">
        <v>0.08</v>
      </c>
      <c r="J43" s="100">
        <v>0.08</v>
      </c>
      <c r="K43" s="100">
        <v>0.08</v>
      </c>
      <c r="L43" s="104">
        <v>0.08</v>
      </c>
      <c r="M43" s="104">
        <v>0.08</v>
      </c>
      <c r="N43" s="104">
        <v>0.08</v>
      </c>
      <c r="O43" s="358">
        <v>0.08</v>
      </c>
      <c r="P43" s="101">
        <f t="shared" si="4"/>
        <v>0.99999999999999967</v>
      </c>
      <c r="Q43" s="412"/>
      <c r="R43" s="413"/>
      <c r="S43" s="413"/>
      <c r="T43" s="413"/>
      <c r="U43" s="413"/>
      <c r="V43" s="413"/>
      <c r="W43" s="413"/>
      <c r="X43" s="413"/>
      <c r="Y43" s="413"/>
      <c r="Z43" s="413"/>
      <c r="AA43" s="413"/>
      <c r="AB43" s="413"/>
      <c r="AC43" s="413"/>
      <c r="AD43" s="414"/>
      <c r="AE43" s="97"/>
    </row>
    <row r="44" spans="1:41" ht="89.25" customHeight="1" x14ac:dyDescent="0.25">
      <c r="A44" s="592" t="s">
        <v>112</v>
      </c>
      <c r="B44" s="594">
        <v>0.02</v>
      </c>
      <c r="C44" s="274" t="s">
        <v>63</v>
      </c>
      <c r="D44" s="322">
        <v>0.02</v>
      </c>
      <c r="E44" s="322">
        <v>0.1</v>
      </c>
      <c r="F44" s="322">
        <v>0.1</v>
      </c>
      <c r="G44" s="322">
        <v>0.1</v>
      </c>
      <c r="H44" s="322">
        <v>0.1</v>
      </c>
      <c r="I44" s="322">
        <v>0.09</v>
      </c>
      <c r="J44" s="322">
        <v>0.09</v>
      </c>
      <c r="K44" s="322">
        <v>0.09</v>
      </c>
      <c r="L44" s="322">
        <v>0.09</v>
      </c>
      <c r="M44" s="322">
        <v>0.09</v>
      </c>
      <c r="N44" s="322">
        <v>0.09</v>
      </c>
      <c r="O44" s="322">
        <v>0.04</v>
      </c>
      <c r="P44" s="101">
        <f t="shared" si="4"/>
        <v>0.99999999999999989</v>
      </c>
      <c r="Q44" s="411" t="s">
        <v>591</v>
      </c>
      <c r="R44" s="406"/>
      <c r="S44" s="406"/>
      <c r="T44" s="406"/>
      <c r="U44" s="406"/>
      <c r="V44" s="406"/>
      <c r="W44" s="406"/>
      <c r="X44" s="406"/>
      <c r="Y44" s="406"/>
      <c r="Z44" s="406"/>
      <c r="AA44" s="406"/>
      <c r="AB44" s="406"/>
      <c r="AC44" s="406"/>
      <c r="AD44" s="407"/>
      <c r="AE44" s="97"/>
    </row>
    <row r="45" spans="1:41" ht="89.25" customHeight="1" thickBot="1" x14ac:dyDescent="0.3">
      <c r="A45" s="593"/>
      <c r="B45" s="595"/>
      <c r="C45" s="91" t="s">
        <v>64</v>
      </c>
      <c r="D45" s="105">
        <v>0.02</v>
      </c>
      <c r="E45" s="105">
        <v>0.1</v>
      </c>
      <c r="F45" s="105">
        <v>0.1</v>
      </c>
      <c r="G45" s="105">
        <v>0.1</v>
      </c>
      <c r="H45" s="105">
        <v>0.1</v>
      </c>
      <c r="I45" s="105">
        <v>0.09</v>
      </c>
      <c r="J45" s="105">
        <v>0.09</v>
      </c>
      <c r="K45" s="105">
        <v>0.09</v>
      </c>
      <c r="L45" s="106">
        <v>0</v>
      </c>
      <c r="M45" s="106">
        <v>0.09</v>
      </c>
      <c r="N45" s="106">
        <v>0.09</v>
      </c>
      <c r="O45" s="359">
        <v>0.13</v>
      </c>
      <c r="P45" s="107">
        <f t="shared" si="4"/>
        <v>0.99999999999999989</v>
      </c>
      <c r="Q45" s="596"/>
      <c r="R45" s="597"/>
      <c r="S45" s="597"/>
      <c r="T45" s="597"/>
      <c r="U45" s="597"/>
      <c r="V45" s="597"/>
      <c r="W45" s="597"/>
      <c r="X45" s="597"/>
      <c r="Y45" s="597"/>
      <c r="Z45" s="597"/>
      <c r="AA45" s="597"/>
      <c r="AB45" s="597"/>
      <c r="AC45" s="597"/>
      <c r="AD45" s="598"/>
      <c r="AE45" s="97"/>
    </row>
    <row r="46" spans="1:41" x14ac:dyDescent="0.25">
      <c r="Q46" s="78"/>
      <c r="R46" s="78"/>
      <c r="S46" s="78"/>
      <c r="T46" s="78"/>
      <c r="U46" s="78"/>
      <c r="V46" s="78"/>
      <c r="W46" s="78"/>
      <c r="X46" s="78"/>
      <c r="Y46" s="78"/>
      <c r="Z46" s="78"/>
      <c r="AA46" s="78"/>
      <c r="AB46" s="78"/>
      <c r="AC46" s="78"/>
      <c r="AD46" s="78"/>
    </row>
    <row r="55" spans="1:51" s="250" customFormat="1" ht="21.75" customHeight="1" x14ac:dyDescent="0.25">
      <c r="A55" s="382" t="s">
        <v>92</v>
      </c>
      <c r="B55" s="382" t="s">
        <v>66</v>
      </c>
      <c r="C55" s="370" t="s">
        <v>67</v>
      </c>
      <c r="D55" s="371"/>
      <c r="E55" s="371"/>
      <c r="F55" s="371"/>
      <c r="G55" s="371"/>
      <c r="H55" s="371"/>
      <c r="I55" s="371"/>
      <c r="J55" s="371"/>
      <c r="K55" s="371"/>
      <c r="L55" s="371"/>
      <c r="M55" s="371"/>
      <c r="N55" s="371"/>
      <c r="O55" s="371"/>
      <c r="P55" s="372"/>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row>
    <row r="56" spans="1:51" s="250" customFormat="1" ht="21.75" customHeight="1" x14ac:dyDescent="0.25">
      <c r="A56" s="383"/>
      <c r="B56" s="383"/>
      <c r="C56" s="190" t="s">
        <v>69</v>
      </c>
      <c r="D56" s="190" t="s">
        <v>70</v>
      </c>
      <c r="E56" s="190" t="s">
        <v>71</v>
      </c>
      <c r="F56" s="190" t="s">
        <v>72</v>
      </c>
      <c r="G56" s="190" t="s">
        <v>73</v>
      </c>
      <c r="H56" s="190" t="s">
        <v>74</v>
      </c>
      <c r="I56" s="190" t="s">
        <v>75</v>
      </c>
      <c r="J56" s="190" t="s">
        <v>76</v>
      </c>
      <c r="K56" s="190" t="s">
        <v>77</v>
      </c>
      <c r="L56" s="190" t="s">
        <v>78</v>
      </c>
      <c r="M56" s="190" t="s">
        <v>79</v>
      </c>
      <c r="N56" s="190" t="s">
        <v>80</v>
      </c>
      <c r="O56" s="190" t="s">
        <v>81</v>
      </c>
      <c r="P56" s="190" t="s">
        <v>82</v>
      </c>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row>
    <row r="57" spans="1:51" s="250" customFormat="1" ht="12.75" customHeight="1" x14ac:dyDescent="0.25">
      <c r="A57" s="373" t="str">
        <f>A38</f>
        <v>18. Realizar atenciones en intervención social que comprenden plan de intervención, asesoría, acompañamiento, enrutamiento y seguimiento a mujeres que realizan actividades sexuales pagadas</v>
      </c>
      <c r="B57" s="375">
        <f>B38</f>
        <v>0.1</v>
      </c>
      <c r="C57" s="191" t="s">
        <v>63</v>
      </c>
      <c r="D57" s="222">
        <f>D38*$B$38/$P$38</f>
        <v>8.0000000000000036E-3</v>
      </c>
      <c r="E57" s="222">
        <f t="shared" ref="E57:O58" si="5">E38*$B$38/$P$38</f>
        <v>9.0000000000000028E-3</v>
      </c>
      <c r="F57" s="222">
        <f t="shared" si="5"/>
        <v>9.0000000000000028E-3</v>
      </c>
      <c r="G57" s="222">
        <f t="shared" si="5"/>
        <v>9.0000000000000028E-3</v>
      </c>
      <c r="H57" s="222">
        <f t="shared" si="5"/>
        <v>9.0000000000000028E-3</v>
      </c>
      <c r="I57" s="222">
        <f t="shared" si="5"/>
        <v>8.0000000000000036E-3</v>
      </c>
      <c r="J57" s="222">
        <f t="shared" si="5"/>
        <v>8.0000000000000036E-3</v>
      </c>
      <c r="K57" s="222">
        <f t="shared" si="5"/>
        <v>8.0000000000000036E-3</v>
      </c>
      <c r="L57" s="222">
        <f t="shared" si="5"/>
        <v>8.0000000000000036E-3</v>
      </c>
      <c r="M57" s="222">
        <f t="shared" si="5"/>
        <v>8.0000000000000036E-3</v>
      </c>
      <c r="N57" s="222">
        <f t="shared" si="5"/>
        <v>8.0000000000000036E-3</v>
      </c>
      <c r="O57" s="222">
        <f t="shared" si="5"/>
        <v>8.0000000000000036E-3</v>
      </c>
      <c r="P57" s="223">
        <f t="shared" ref="P57:P60" si="6">SUM(D57:O57)</f>
        <v>0.10000000000000006</v>
      </c>
      <c r="Q57" s="108"/>
      <c r="R57" s="224"/>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05"/>
      <c r="AR57" s="205"/>
      <c r="AS57" s="205"/>
      <c r="AT57" s="205"/>
      <c r="AU57" s="205"/>
      <c r="AV57" s="205"/>
      <c r="AW57" s="205"/>
      <c r="AX57" s="205"/>
      <c r="AY57" s="205"/>
    </row>
    <row r="58" spans="1:51" s="250" customFormat="1" ht="12.75" customHeight="1" x14ac:dyDescent="0.25">
      <c r="A58" s="374"/>
      <c r="B58" s="376"/>
      <c r="C58" s="196" t="s">
        <v>64</v>
      </c>
      <c r="D58" s="226">
        <f>D39*$B$38/$P$38</f>
        <v>8.0000000000000036E-3</v>
      </c>
      <c r="E58" s="226">
        <f t="shared" si="5"/>
        <v>9.0000000000000028E-3</v>
      </c>
      <c r="F58" s="226">
        <f t="shared" si="5"/>
        <v>9.0000000000000028E-3</v>
      </c>
      <c r="G58" s="226">
        <f t="shared" si="5"/>
        <v>9.0000000000000028E-3</v>
      </c>
      <c r="H58" s="226">
        <f t="shared" si="5"/>
        <v>9.0000000000000028E-3</v>
      </c>
      <c r="I58" s="226">
        <f t="shared" si="5"/>
        <v>8.0000000000000036E-3</v>
      </c>
      <c r="J58" s="226">
        <f t="shared" si="5"/>
        <v>8.0000000000000036E-3</v>
      </c>
      <c r="K58" s="226">
        <f t="shared" si="5"/>
        <v>8.0000000000000036E-3</v>
      </c>
      <c r="L58" s="226">
        <f t="shared" si="5"/>
        <v>8.0000000000000036E-3</v>
      </c>
      <c r="M58" s="226">
        <f t="shared" si="5"/>
        <v>8.0000000000000036E-3</v>
      </c>
      <c r="N58" s="226">
        <f t="shared" si="5"/>
        <v>8.0000000000000036E-3</v>
      </c>
      <c r="O58" s="226">
        <f t="shared" si="5"/>
        <v>8.0000000000000036E-3</v>
      </c>
      <c r="P58" s="227">
        <f t="shared" si="6"/>
        <v>0.10000000000000006</v>
      </c>
      <c r="Q58" s="228"/>
      <c r="R58" s="224"/>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05"/>
      <c r="AR58" s="205"/>
      <c r="AS58" s="205"/>
      <c r="AT58" s="205"/>
      <c r="AU58" s="205"/>
      <c r="AV58" s="205"/>
      <c r="AW58" s="205"/>
      <c r="AX58" s="205"/>
      <c r="AY58" s="205"/>
    </row>
    <row r="59" spans="1:51" s="250" customFormat="1" ht="12.75" customHeight="1" x14ac:dyDescent="0.25">
      <c r="A59" s="373" t="str">
        <f>A40</f>
        <v>19. Realizar atenciones psicosociales  (valoración, asesoría y seguimiento) a mujeres que realizan actividades sexuales pagadas y sus familias</v>
      </c>
      <c r="B59" s="378">
        <f>B40</f>
        <v>0.1</v>
      </c>
      <c r="C59" s="191" t="s">
        <v>63</v>
      </c>
      <c r="D59" s="222">
        <f>D40*$B$40/$P$40</f>
        <v>8.0000000000000036E-3</v>
      </c>
      <c r="E59" s="222">
        <f t="shared" ref="E59:O60" si="7">E40*$B$40/$P$40</f>
        <v>9.0000000000000028E-3</v>
      </c>
      <c r="F59" s="222">
        <f t="shared" si="7"/>
        <v>9.0000000000000028E-3</v>
      </c>
      <c r="G59" s="222">
        <f t="shared" si="7"/>
        <v>9.0000000000000028E-3</v>
      </c>
      <c r="H59" s="222">
        <f t="shared" si="7"/>
        <v>9.0000000000000028E-3</v>
      </c>
      <c r="I59" s="222">
        <f t="shared" si="7"/>
        <v>8.0000000000000036E-3</v>
      </c>
      <c r="J59" s="222">
        <f t="shared" si="7"/>
        <v>8.0000000000000036E-3</v>
      </c>
      <c r="K59" s="222">
        <f t="shared" si="7"/>
        <v>8.0000000000000036E-3</v>
      </c>
      <c r="L59" s="222">
        <f t="shared" si="7"/>
        <v>8.0000000000000036E-3</v>
      </c>
      <c r="M59" s="222">
        <f t="shared" si="7"/>
        <v>8.0000000000000036E-3</v>
      </c>
      <c r="N59" s="222">
        <f t="shared" si="7"/>
        <v>8.0000000000000036E-3</v>
      </c>
      <c r="O59" s="222">
        <f t="shared" si="7"/>
        <v>8.0000000000000036E-3</v>
      </c>
      <c r="P59" s="223">
        <f t="shared" si="6"/>
        <v>0.10000000000000006</v>
      </c>
      <c r="Q59" s="108"/>
      <c r="R59" s="224"/>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5"/>
      <c r="AP59" s="225"/>
      <c r="AQ59" s="205"/>
      <c r="AR59" s="205"/>
      <c r="AS59" s="205"/>
      <c r="AT59" s="205"/>
      <c r="AU59" s="205"/>
      <c r="AV59" s="205"/>
      <c r="AW59" s="205"/>
      <c r="AX59" s="205"/>
      <c r="AY59" s="205"/>
    </row>
    <row r="60" spans="1:51" s="250" customFormat="1" ht="12.75" customHeight="1" x14ac:dyDescent="0.25">
      <c r="A60" s="377"/>
      <c r="B60" s="379"/>
      <c r="C60" s="196" t="s">
        <v>64</v>
      </c>
      <c r="D60" s="226">
        <f>D41*$B$40/$P$40</f>
        <v>8.0000000000000036E-3</v>
      </c>
      <c r="E60" s="226">
        <f t="shared" si="7"/>
        <v>9.0000000000000028E-3</v>
      </c>
      <c r="F60" s="226">
        <f t="shared" si="7"/>
        <v>9.0000000000000028E-3</v>
      </c>
      <c r="G60" s="226">
        <f t="shared" si="7"/>
        <v>9.0000000000000028E-3</v>
      </c>
      <c r="H60" s="226">
        <f t="shared" si="7"/>
        <v>9.0000000000000028E-3</v>
      </c>
      <c r="I60" s="226">
        <f t="shared" si="7"/>
        <v>8.0000000000000036E-3</v>
      </c>
      <c r="J60" s="226">
        <f t="shared" si="7"/>
        <v>8.0000000000000036E-3</v>
      </c>
      <c r="K60" s="226">
        <f t="shared" si="7"/>
        <v>8.0000000000000036E-3</v>
      </c>
      <c r="L60" s="226">
        <f t="shared" si="7"/>
        <v>8.0000000000000036E-3</v>
      </c>
      <c r="M60" s="226">
        <f t="shared" si="7"/>
        <v>8.0000000000000036E-3</v>
      </c>
      <c r="N60" s="226">
        <f t="shared" si="7"/>
        <v>8.0000000000000036E-3</v>
      </c>
      <c r="O60" s="226">
        <f t="shared" si="7"/>
        <v>8.0000000000000036E-3</v>
      </c>
      <c r="P60" s="227">
        <f t="shared" si="6"/>
        <v>0.10000000000000006</v>
      </c>
      <c r="Q60" s="228"/>
      <c r="R60" s="224"/>
      <c r="S60" s="225"/>
      <c r="T60" s="225"/>
      <c r="U60" s="225"/>
      <c r="V60" s="225"/>
      <c r="W60" s="225"/>
      <c r="X60" s="225"/>
      <c r="Y60" s="225"/>
      <c r="Z60" s="225"/>
      <c r="AA60" s="225"/>
      <c r="AB60" s="225"/>
      <c r="AC60" s="225"/>
      <c r="AD60" s="225"/>
      <c r="AE60" s="225"/>
      <c r="AF60" s="225"/>
      <c r="AG60" s="225"/>
      <c r="AH60" s="225"/>
      <c r="AI60" s="225"/>
      <c r="AJ60" s="225"/>
      <c r="AK60" s="225"/>
      <c r="AL60" s="225"/>
      <c r="AM60" s="225"/>
      <c r="AN60" s="225"/>
      <c r="AO60" s="225"/>
      <c r="AP60" s="225"/>
      <c r="AQ60" s="205"/>
      <c r="AR60" s="205"/>
      <c r="AS60" s="205"/>
      <c r="AT60" s="205"/>
      <c r="AU60" s="205"/>
      <c r="AV60" s="205"/>
      <c r="AW60" s="205"/>
      <c r="AX60" s="205"/>
      <c r="AY60" s="205"/>
    </row>
    <row r="61" spans="1:51" s="250" customFormat="1" ht="12.75" customHeight="1" x14ac:dyDescent="0.25">
      <c r="A61" s="373" t="str">
        <f>A42</f>
        <v>20. Realizar atenciones jurídicas a mujeres que realizan actividades sexuales pagadas, que consisten en orientación, asesoría y representación jurídica especializada y llevar casos de intervención o representación judicial, con valoraciones iniciales y  los seguimientos correspondientes a cada caso.</v>
      </c>
      <c r="B61" s="378">
        <f>B42</f>
        <v>0.1</v>
      </c>
      <c r="C61" s="191" t="s">
        <v>63</v>
      </c>
      <c r="D61" s="222">
        <f>D42*$B$42/$P$42</f>
        <v>8.0000000000000036E-3</v>
      </c>
      <c r="E61" s="222">
        <f t="shared" ref="E61:O62" si="8">E42*$B$42/$P$42</f>
        <v>9.0000000000000028E-3</v>
      </c>
      <c r="F61" s="222">
        <f t="shared" si="8"/>
        <v>9.0000000000000028E-3</v>
      </c>
      <c r="G61" s="222">
        <f t="shared" si="8"/>
        <v>9.0000000000000028E-3</v>
      </c>
      <c r="H61" s="222">
        <f t="shared" si="8"/>
        <v>9.0000000000000028E-3</v>
      </c>
      <c r="I61" s="222">
        <f t="shared" si="8"/>
        <v>8.0000000000000036E-3</v>
      </c>
      <c r="J61" s="222">
        <f t="shared" si="8"/>
        <v>8.0000000000000036E-3</v>
      </c>
      <c r="K61" s="222">
        <f t="shared" si="8"/>
        <v>8.0000000000000036E-3</v>
      </c>
      <c r="L61" s="222">
        <f t="shared" si="8"/>
        <v>8.0000000000000036E-3</v>
      </c>
      <c r="M61" s="222">
        <f t="shared" si="8"/>
        <v>8.0000000000000036E-3</v>
      </c>
      <c r="N61" s="222">
        <f t="shared" si="8"/>
        <v>8.0000000000000036E-3</v>
      </c>
      <c r="O61" s="222">
        <f t="shared" si="8"/>
        <v>8.0000000000000036E-3</v>
      </c>
      <c r="P61" s="223">
        <f t="shared" ref="P61:P64" si="9">SUM(D61:O61)</f>
        <v>0.10000000000000006</v>
      </c>
      <c r="Q61" s="108"/>
      <c r="R61" s="224"/>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05"/>
      <c r="AR61" s="205"/>
      <c r="AS61" s="205"/>
      <c r="AT61" s="205"/>
      <c r="AU61" s="205"/>
      <c r="AV61" s="205"/>
      <c r="AW61" s="205"/>
      <c r="AX61" s="205"/>
      <c r="AY61" s="205"/>
    </row>
    <row r="62" spans="1:51" s="250" customFormat="1" ht="12.75" customHeight="1" x14ac:dyDescent="0.25">
      <c r="A62" s="377"/>
      <c r="B62" s="379"/>
      <c r="C62" s="196" t="s">
        <v>64</v>
      </c>
      <c r="D62" s="226">
        <f>D43*$B$42/$P$42</f>
        <v>8.0000000000000036E-3</v>
      </c>
      <c r="E62" s="226">
        <f t="shared" si="8"/>
        <v>9.0000000000000028E-3</v>
      </c>
      <c r="F62" s="226">
        <f t="shared" si="8"/>
        <v>9.0000000000000028E-3</v>
      </c>
      <c r="G62" s="226">
        <f t="shared" si="8"/>
        <v>9.0000000000000028E-3</v>
      </c>
      <c r="H62" s="226">
        <f t="shared" si="8"/>
        <v>9.0000000000000028E-3</v>
      </c>
      <c r="I62" s="226">
        <f t="shared" si="8"/>
        <v>8.0000000000000036E-3</v>
      </c>
      <c r="J62" s="226">
        <f t="shared" si="8"/>
        <v>8.0000000000000036E-3</v>
      </c>
      <c r="K62" s="226">
        <f t="shared" si="8"/>
        <v>8.0000000000000036E-3</v>
      </c>
      <c r="L62" s="226">
        <f t="shared" si="8"/>
        <v>8.0000000000000036E-3</v>
      </c>
      <c r="M62" s="226">
        <f t="shared" si="8"/>
        <v>8.0000000000000036E-3</v>
      </c>
      <c r="N62" s="226">
        <f t="shared" si="8"/>
        <v>8.0000000000000036E-3</v>
      </c>
      <c r="O62" s="226">
        <f t="shared" si="8"/>
        <v>8.0000000000000036E-3</v>
      </c>
      <c r="P62" s="227">
        <f t="shared" si="9"/>
        <v>0.10000000000000006</v>
      </c>
      <c r="Q62" s="228"/>
      <c r="R62" s="224"/>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05"/>
      <c r="AR62" s="205"/>
      <c r="AS62" s="205"/>
      <c r="AT62" s="205"/>
      <c r="AU62" s="205"/>
      <c r="AV62" s="205"/>
      <c r="AW62" s="205"/>
      <c r="AX62" s="205"/>
      <c r="AY62" s="205"/>
    </row>
    <row r="63" spans="1:51" s="250" customFormat="1" ht="12.75" customHeight="1" x14ac:dyDescent="0.25">
      <c r="A63" s="373" t="str">
        <f>A44</f>
        <v>21. Generar y divulgar información de los sitios, dinámicas y contextos de las actividades sexuales pagadas en Bogotá</v>
      </c>
      <c r="B63" s="378">
        <f>B44</f>
        <v>0.02</v>
      </c>
      <c r="C63" s="191" t="s">
        <v>63</v>
      </c>
      <c r="D63" s="222">
        <f>D44*$B$44/$P$44</f>
        <v>4.0000000000000007E-4</v>
      </c>
      <c r="E63" s="222">
        <f t="shared" ref="E63:O64" si="10">E44*$B$44/$P$44</f>
        <v>2.0000000000000005E-3</v>
      </c>
      <c r="F63" s="222">
        <f t="shared" si="10"/>
        <v>2.0000000000000005E-3</v>
      </c>
      <c r="G63" s="222">
        <f t="shared" si="10"/>
        <v>2.0000000000000005E-3</v>
      </c>
      <c r="H63" s="222">
        <f t="shared" si="10"/>
        <v>2.0000000000000005E-3</v>
      </c>
      <c r="I63" s="222">
        <f t="shared" si="10"/>
        <v>1.8000000000000002E-3</v>
      </c>
      <c r="J63" s="222">
        <f t="shared" si="10"/>
        <v>1.8000000000000002E-3</v>
      </c>
      <c r="K63" s="222">
        <f t="shared" si="10"/>
        <v>1.8000000000000002E-3</v>
      </c>
      <c r="L63" s="222">
        <f t="shared" si="10"/>
        <v>1.8000000000000002E-3</v>
      </c>
      <c r="M63" s="222">
        <f t="shared" si="10"/>
        <v>1.8000000000000002E-3</v>
      </c>
      <c r="N63" s="222">
        <f t="shared" si="10"/>
        <v>1.8000000000000002E-3</v>
      </c>
      <c r="O63" s="222">
        <f t="shared" si="10"/>
        <v>8.0000000000000015E-4</v>
      </c>
      <c r="P63" s="223">
        <f t="shared" si="9"/>
        <v>1.9999999999999997E-2</v>
      </c>
      <c r="Q63" s="108"/>
      <c r="R63" s="224"/>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05"/>
      <c r="AR63" s="205"/>
      <c r="AS63" s="205"/>
      <c r="AT63" s="205"/>
      <c r="AU63" s="205"/>
      <c r="AV63" s="205"/>
      <c r="AW63" s="205"/>
      <c r="AX63" s="205"/>
      <c r="AY63" s="205"/>
    </row>
    <row r="64" spans="1:51" s="250" customFormat="1" ht="12.75" customHeight="1" x14ac:dyDescent="0.25">
      <c r="A64" s="377"/>
      <c r="B64" s="379"/>
      <c r="C64" s="196" t="s">
        <v>64</v>
      </c>
      <c r="D64" s="226">
        <f>D45*$B$44/$P$44</f>
        <v>4.0000000000000007E-4</v>
      </c>
      <c r="E64" s="226">
        <f t="shared" si="10"/>
        <v>2.0000000000000005E-3</v>
      </c>
      <c r="F64" s="226">
        <f t="shared" si="10"/>
        <v>2.0000000000000005E-3</v>
      </c>
      <c r="G64" s="226">
        <f t="shared" si="10"/>
        <v>2.0000000000000005E-3</v>
      </c>
      <c r="H64" s="226">
        <f t="shared" si="10"/>
        <v>2.0000000000000005E-3</v>
      </c>
      <c r="I64" s="226">
        <f t="shared" si="10"/>
        <v>1.8000000000000002E-3</v>
      </c>
      <c r="J64" s="226">
        <f t="shared" si="10"/>
        <v>1.8000000000000002E-3</v>
      </c>
      <c r="K64" s="226">
        <f t="shared" si="10"/>
        <v>1.8000000000000002E-3</v>
      </c>
      <c r="L64" s="226">
        <f t="shared" si="10"/>
        <v>0</v>
      </c>
      <c r="M64" s="226">
        <f t="shared" si="10"/>
        <v>1.8000000000000002E-3</v>
      </c>
      <c r="N64" s="226">
        <f t="shared" si="10"/>
        <v>1.8000000000000002E-3</v>
      </c>
      <c r="O64" s="226">
        <f t="shared" si="10"/>
        <v>2.6000000000000007E-3</v>
      </c>
      <c r="P64" s="227">
        <f t="shared" si="9"/>
        <v>0.02</v>
      </c>
      <c r="Q64" s="228"/>
      <c r="R64" s="224"/>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05"/>
      <c r="AR64" s="205"/>
      <c r="AS64" s="205"/>
      <c r="AT64" s="205"/>
      <c r="AU64" s="205"/>
      <c r="AV64" s="205"/>
      <c r="AW64" s="205"/>
      <c r="AX64" s="205"/>
      <c r="AY64" s="205"/>
    </row>
    <row r="65" spans="1:51" s="250" customFormat="1" ht="15.75" customHeight="1" x14ac:dyDescent="0.25">
      <c r="A65" s="225"/>
      <c r="B65" s="225"/>
      <c r="C65" s="229"/>
      <c r="D65" s="230">
        <f>D58+D60+D62+D64</f>
        <v>2.4400000000000012E-2</v>
      </c>
      <c r="E65" s="230">
        <f t="shared" ref="E65:P65" si="11">E58+E60+E62+E64</f>
        <v>2.9000000000000012E-2</v>
      </c>
      <c r="F65" s="230">
        <f t="shared" si="11"/>
        <v>2.9000000000000012E-2</v>
      </c>
      <c r="G65" s="230">
        <f t="shared" si="11"/>
        <v>2.9000000000000012E-2</v>
      </c>
      <c r="H65" s="230">
        <f t="shared" si="11"/>
        <v>2.9000000000000012E-2</v>
      </c>
      <c r="I65" s="230">
        <f t="shared" si="11"/>
        <v>2.580000000000001E-2</v>
      </c>
      <c r="J65" s="230">
        <f t="shared" si="11"/>
        <v>2.580000000000001E-2</v>
      </c>
      <c r="K65" s="230">
        <f t="shared" si="11"/>
        <v>2.580000000000001E-2</v>
      </c>
      <c r="L65" s="230">
        <f t="shared" si="11"/>
        <v>2.4000000000000011E-2</v>
      </c>
      <c r="M65" s="230">
        <f t="shared" si="11"/>
        <v>2.580000000000001E-2</v>
      </c>
      <c r="N65" s="230">
        <f t="shared" si="11"/>
        <v>2.580000000000001E-2</v>
      </c>
      <c r="O65" s="230">
        <f t="shared" si="11"/>
        <v>2.6600000000000013E-2</v>
      </c>
      <c r="P65" s="230">
        <f t="shared" si="11"/>
        <v>0.32000000000000017</v>
      </c>
      <c r="Q65" s="225"/>
      <c r="R65" s="224"/>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05"/>
      <c r="AR65" s="205"/>
      <c r="AS65" s="205"/>
      <c r="AT65" s="205"/>
      <c r="AU65" s="205"/>
      <c r="AV65" s="205"/>
      <c r="AW65" s="205"/>
      <c r="AX65" s="205"/>
      <c r="AY65" s="205"/>
    </row>
    <row r="66" spans="1:51" s="250" customFormat="1" ht="15.75" customHeight="1" x14ac:dyDescent="0.25">
      <c r="A66" s="205"/>
      <c r="B66" s="205"/>
      <c r="C66" s="209" t="s">
        <v>64</v>
      </c>
      <c r="D66" s="231">
        <f>D65*$W$17/$B$34</f>
        <v>7.6250000000000026E-2</v>
      </c>
      <c r="E66" s="231">
        <f t="shared" ref="E66:O66" si="12">E65*$W$17/$B$34</f>
        <v>9.0625000000000025E-2</v>
      </c>
      <c r="F66" s="231">
        <f t="shared" si="12"/>
        <v>9.0625000000000025E-2</v>
      </c>
      <c r="G66" s="231">
        <f t="shared" si="12"/>
        <v>9.0625000000000025E-2</v>
      </c>
      <c r="H66" s="231">
        <f t="shared" si="12"/>
        <v>9.0625000000000025E-2</v>
      </c>
      <c r="I66" s="231">
        <f t="shared" si="12"/>
        <v>8.0625000000000016E-2</v>
      </c>
      <c r="J66" s="231">
        <f t="shared" si="12"/>
        <v>8.0625000000000016E-2</v>
      </c>
      <c r="K66" s="231">
        <f t="shared" si="12"/>
        <v>8.0625000000000016E-2</v>
      </c>
      <c r="L66" s="231">
        <f t="shared" si="12"/>
        <v>7.5000000000000025E-2</v>
      </c>
      <c r="M66" s="231">
        <f t="shared" si="12"/>
        <v>8.0625000000000016E-2</v>
      </c>
      <c r="N66" s="231">
        <f t="shared" si="12"/>
        <v>8.0625000000000016E-2</v>
      </c>
      <c r="O66" s="231">
        <f t="shared" si="12"/>
        <v>8.3125000000000018E-2</v>
      </c>
      <c r="P66" s="232">
        <f>SUM(D66:O66)</f>
        <v>1.0000000000000004</v>
      </c>
      <c r="Q66" s="204"/>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row>
    <row r="67" spans="1:51" s="250" customFormat="1" ht="13.5" customHeight="1" x14ac:dyDescent="0.25">
      <c r="A67" s="204"/>
      <c r="B67" s="204"/>
      <c r="C67" s="204"/>
      <c r="D67" s="204"/>
      <c r="E67" s="204"/>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5"/>
      <c r="AE67" s="205"/>
      <c r="AF67" s="205"/>
      <c r="AG67" s="205"/>
      <c r="AH67" s="205"/>
      <c r="AI67" s="205"/>
      <c r="AJ67" s="205"/>
      <c r="AK67" s="205"/>
      <c r="AL67" s="205"/>
      <c r="AM67" s="205"/>
      <c r="AN67" s="205"/>
      <c r="AO67" s="205"/>
      <c r="AP67" s="205"/>
      <c r="AQ67" s="205"/>
      <c r="AR67" s="205"/>
      <c r="AS67" s="205"/>
      <c r="AT67" s="205"/>
      <c r="AU67" s="205"/>
      <c r="AV67" s="205"/>
      <c r="AW67" s="205"/>
      <c r="AX67" s="205"/>
      <c r="AY67" s="205"/>
    </row>
    <row r="68" spans="1:51" x14ac:dyDescent="0.25">
      <c r="D68" s="230">
        <f>D57+D59+D61+D63</f>
        <v>2.4400000000000012E-2</v>
      </c>
      <c r="E68" s="230">
        <f t="shared" ref="E68:O68" si="13">E57+E59+E61+E63</f>
        <v>2.9000000000000012E-2</v>
      </c>
      <c r="F68" s="230">
        <f t="shared" si="13"/>
        <v>2.9000000000000012E-2</v>
      </c>
      <c r="G68" s="230">
        <f t="shared" si="13"/>
        <v>2.9000000000000012E-2</v>
      </c>
      <c r="H68" s="230">
        <f t="shared" si="13"/>
        <v>2.9000000000000012E-2</v>
      </c>
      <c r="I68" s="230">
        <f t="shared" si="13"/>
        <v>2.580000000000001E-2</v>
      </c>
      <c r="J68" s="230">
        <f t="shared" si="13"/>
        <v>2.580000000000001E-2</v>
      </c>
      <c r="K68" s="230">
        <f t="shared" si="13"/>
        <v>2.580000000000001E-2</v>
      </c>
      <c r="L68" s="230">
        <f t="shared" si="13"/>
        <v>2.580000000000001E-2</v>
      </c>
      <c r="M68" s="230">
        <f t="shared" si="13"/>
        <v>2.580000000000001E-2</v>
      </c>
      <c r="N68" s="230">
        <f t="shared" si="13"/>
        <v>2.580000000000001E-2</v>
      </c>
      <c r="O68" s="230">
        <f t="shared" si="13"/>
        <v>2.480000000000001E-2</v>
      </c>
      <c r="P68" s="230">
        <f>SUM(D68:O68)</f>
        <v>0.32000000000000012</v>
      </c>
    </row>
    <row r="69" spans="1:51" s="250" customFormat="1" ht="15.75" customHeight="1" x14ac:dyDescent="0.25">
      <c r="A69" s="205"/>
      <c r="B69" s="205"/>
      <c r="C69" s="209" t="s">
        <v>63</v>
      </c>
      <c r="D69" s="231">
        <f>D68*$W$17/$B$34</f>
        <v>7.6250000000000026E-2</v>
      </c>
      <c r="E69" s="231">
        <f t="shared" ref="E69:O69" si="14">E68*$W$17/$B$34</f>
        <v>9.0625000000000025E-2</v>
      </c>
      <c r="F69" s="231">
        <f t="shared" si="14"/>
        <v>9.0625000000000025E-2</v>
      </c>
      <c r="G69" s="231">
        <f t="shared" si="14"/>
        <v>9.0625000000000025E-2</v>
      </c>
      <c r="H69" s="231">
        <f t="shared" si="14"/>
        <v>9.0625000000000025E-2</v>
      </c>
      <c r="I69" s="231">
        <f t="shared" si="14"/>
        <v>8.0625000000000016E-2</v>
      </c>
      <c r="J69" s="231">
        <f t="shared" si="14"/>
        <v>8.0625000000000016E-2</v>
      </c>
      <c r="K69" s="231">
        <f t="shared" si="14"/>
        <v>8.0625000000000016E-2</v>
      </c>
      <c r="L69" s="231">
        <f t="shared" si="14"/>
        <v>8.0625000000000016E-2</v>
      </c>
      <c r="M69" s="231">
        <f t="shared" si="14"/>
        <v>8.0625000000000016E-2</v>
      </c>
      <c r="N69" s="231">
        <f t="shared" si="14"/>
        <v>8.0625000000000016E-2</v>
      </c>
      <c r="O69" s="231">
        <f t="shared" si="14"/>
        <v>7.7500000000000013E-2</v>
      </c>
      <c r="P69" s="232">
        <f>SUM(D69:O69)</f>
        <v>1.0000000000000004</v>
      </c>
      <c r="Q69" s="204"/>
      <c r="R69" s="205"/>
      <c r="S69" s="205"/>
      <c r="T69" s="205"/>
      <c r="U69" s="205"/>
      <c r="V69" s="205"/>
      <c r="W69" s="205"/>
      <c r="X69" s="205"/>
      <c r="Y69" s="205"/>
      <c r="Z69" s="205"/>
      <c r="AA69" s="205"/>
      <c r="AB69" s="205"/>
      <c r="AC69" s="205"/>
      <c r="AD69" s="205"/>
      <c r="AE69" s="205"/>
      <c r="AF69" s="205"/>
      <c r="AG69" s="205"/>
      <c r="AH69" s="205"/>
      <c r="AI69" s="205"/>
      <c r="AJ69" s="205"/>
      <c r="AK69" s="205"/>
      <c r="AL69" s="205"/>
      <c r="AM69" s="205"/>
      <c r="AN69" s="205"/>
      <c r="AO69" s="205"/>
      <c r="AP69" s="205"/>
      <c r="AQ69" s="205"/>
      <c r="AR69" s="205"/>
      <c r="AS69" s="205"/>
      <c r="AT69" s="205"/>
      <c r="AU69" s="205"/>
      <c r="AV69" s="205"/>
      <c r="AW69" s="205"/>
      <c r="AX69" s="205"/>
      <c r="AY69" s="205"/>
    </row>
  </sheetData>
  <mergeCells count="87">
    <mergeCell ref="AB4:AD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11:B13"/>
    <mergeCell ref="C11:AD13"/>
    <mergeCell ref="A7:B9"/>
    <mergeCell ref="C7:C9"/>
    <mergeCell ref="D7:H9"/>
    <mergeCell ref="A19:AD19"/>
    <mergeCell ref="C20:P20"/>
    <mergeCell ref="Q20:AD20"/>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A44:A45"/>
    <mergeCell ref="B44:B45"/>
    <mergeCell ref="Q44:AD45"/>
    <mergeCell ref="A40:A41"/>
    <mergeCell ref="B40:B41"/>
    <mergeCell ref="Q40:AD41"/>
    <mergeCell ref="A42:A43"/>
    <mergeCell ref="B42:B43"/>
    <mergeCell ref="Q42:AD43"/>
    <mergeCell ref="Q38:AD39"/>
    <mergeCell ref="A63:A64"/>
    <mergeCell ref="B63:B64"/>
    <mergeCell ref="A55:A56"/>
    <mergeCell ref="B55:B56"/>
    <mergeCell ref="C55:P55"/>
    <mergeCell ref="A57:A58"/>
    <mergeCell ref="B57:B58"/>
    <mergeCell ref="A59:A60"/>
    <mergeCell ref="B59:B60"/>
    <mergeCell ref="A61:A62"/>
    <mergeCell ref="B61:B62"/>
  </mergeCells>
  <phoneticPr fontId="50" type="noConversion"/>
  <dataValidations count="3">
    <dataValidation type="textLength" operator="lessThanOrEqual" allowBlank="1" showInputMessage="1" showErrorMessage="1" errorTitle="Máximo 2.000 caracteres" error="Máximo 2.000 caracteres" sqref="Q40:AD45" xr:uid="{00000000-0002-0000-0200-000000000000}">
      <formula1>2000</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list" allowBlank="1" showInputMessage="1" showErrorMessage="1" sqref="C7:C9" xr:uid="{00000000-0002-0000-0200-000002000000}">
      <formula1>$C$21:$N$21</formula1>
    </dataValidation>
  </dataValidations>
  <printOptions horizontalCentered="1"/>
  <pageMargins left="0.73685039370078742" right="0.19685039370078741" top="0.19685039370078741" bottom="0.19685039370078741" header="0" footer="0"/>
  <pageSetup paperSize="9" scale="24" orientation="landscape" r:id="rId1"/>
  <colBreaks count="1" manualBreakCount="1">
    <brk id="30" max="1048575"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Y69"/>
  <sheetViews>
    <sheetView view="pageBreakPreview" topLeftCell="A9" zoomScale="60" zoomScaleNormal="75" workbookViewId="0">
      <selection activeCell="G24" sqref="G24"/>
    </sheetView>
  </sheetViews>
  <sheetFormatPr baseColWidth="10" defaultColWidth="10.85546875" defaultRowHeight="15" x14ac:dyDescent="0.25"/>
  <cols>
    <col min="1" max="1" width="38.42578125" style="108" customWidth="1"/>
    <col min="2" max="2" width="15.42578125" style="108" customWidth="1"/>
    <col min="3" max="3" width="20.42578125" style="108" customWidth="1"/>
    <col min="4" max="6" width="15.42578125" style="108" customWidth="1"/>
    <col min="7" max="7" width="21.42578125" style="108" customWidth="1"/>
    <col min="8" max="16" width="15.42578125" style="108" customWidth="1"/>
    <col min="17" max="17" width="16" style="108" bestFit="1" customWidth="1"/>
    <col min="18" max="28" width="14.85546875" style="108" bestFit="1" customWidth="1"/>
    <col min="29" max="29" width="16" style="108" bestFit="1" customWidth="1"/>
    <col min="30" max="30" width="19.42578125" style="108" customWidth="1"/>
    <col min="31" max="31" width="6.42578125" style="108" bestFit="1" customWidth="1"/>
    <col min="32" max="32" width="22.85546875" style="108" customWidth="1"/>
    <col min="33" max="33" width="18.42578125" style="108" bestFit="1" customWidth="1"/>
    <col min="34" max="34" width="12" style="108" bestFit="1" customWidth="1"/>
    <col min="35" max="35" width="18.42578125" style="108" bestFit="1" customWidth="1"/>
    <col min="36" max="36" width="5.42578125" style="108" customWidth="1"/>
    <col min="37" max="37" width="18.42578125" style="108" bestFit="1" customWidth="1"/>
    <col min="38" max="38" width="4.42578125" style="108" customWidth="1"/>
    <col min="39" max="39" width="23" style="108" bestFit="1" customWidth="1"/>
    <col min="40" max="40" width="10.85546875" style="108"/>
    <col min="41" max="41" width="18.42578125" style="108" bestFit="1" customWidth="1"/>
    <col min="42" max="42" width="16.140625" style="108" customWidth="1"/>
    <col min="43" max="16384" width="10.85546875" style="108"/>
  </cols>
  <sheetData>
    <row r="1" spans="1:30" ht="32.25" customHeight="1" x14ac:dyDescent="0.25">
      <c r="A1" s="489"/>
      <c r="B1" s="492" t="s">
        <v>0</v>
      </c>
      <c r="C1" s="493"/>
      <c r="D1" s="493"/>
      <c r="E1" s="493"/>
      <c r="F1" s="493"/>
      <c r="G1" s="493"/>
      <c r="H1" s="493"/>
      <c r="I1" s="493"/>
      <c r="J1" s="493"/>
      <c r="K1" s="493"/>
      <c r="L1" s="493"/>
      <c r="M1" s="493"/>
      <c r="N1" s="493"/>
      <c r="O1" s="493"/>
      <c r="P1" s="493"/>
      <c r="Q1" s="493"/>
      <c r="R1" s="493"/>
      <c r="S1" s="493"/>
      <c r="T1" s="493"/>
      <c r="U1" s="493"/>
      <c r="V1" s="493"/>
      <c r="W1" s="493"/>
      <c r="X1" s="493"/>
      <c r="Y1" s="493"/>
      <c r="Z1" s="493"/>
      <c r="AA1" s="494"/>
      <c r="AB1" s="495" t="s">
        <v>1</v>
      </c>
      <c r="AC1" s="496"/>
      <c r="AD1" s="497"/>
    </row>
    <row r="2" spans="1:30" ht="30.75" customHeight="1" x14ac:dyDescent="0.25">
      <c r="A2" s="490"/>
      <c r="B2" s="498" t="s">
        <v>2</v>
      </c>
      <c r="C2" s="499"/>
      <c r="D2" s="499"/>
      <c r="E2" s="499"/>
      <c r="F2" s="499"/>
      <c r="G2" s="499"/>
      <c r="H2" s="499"/>
      <c r="I2" s="499"/>
      <c r="J2" s="499"/>
      <c r="K2" s="499"/>
      <c r="L2" s="499"/>
      <c r="M2" s="499"/>
      <c r="N2" s="499"/>
      <c r="O2" s="499"/>
      <c r="P2" s="499"/>
      <c r="Q2" s="499"/>
      <c r="R2" s="499"/>
      <c r="S2" s="499"/>
      <c r="T2" s="499"/>
      <c r="U2" s="499"/>
      <c r="V2" s="499"/>
      <c r="W2" s="499"/>
      <c r="X2" s="499"/>
      <c r="Y2" s="499"/>
      <c r="Z2" s="499"/>
      <c r="AA2" s="500"/>
      <c r="AB2" s="501" t="s">
        <v>3</v>
      </c>
      <c r="AC2" s="502"/>
      <c r="AD2" s="503"/>
    </row>
    <row r="3" spans="1:30" ht="37.5" customHeight="1" x14ac:dyDescent="0.25">
      <c r="A3" s="490"/>
      <c r="B3" s="504" t="s">
        <v>4</v>
      </c>
      <c r="C3" s="505"/>
      <c r="D3" s="505"/>
      <c r="E3" s="505"/>
      <c r="F3" s="505"/>
      <c r="G3" s="505"/>
      <c r="H3" s="505"/>
      <c r="I3" s="505"/>
      <c r="J3" s="505"/>
      <c r="K3" s="505"/>
      <c r="L3" s="505"/>
      <c r="M3" s="505"/>
      <c r="N3" s="505"/>
      <c r="O3" s="505"/>
      <c r="P3" s="505"/>
      <c r="Q3" s="505"/>
      <c r="R3" s="505"/>
      <c r="S3" s="505"/>
      <c r="T3" s="505"/>
      <c r="U3" s="505"/>
      <c r="V3" s="505"/>
      <c r="W3" s="505"/>
      <c r="X3" s="505"/>
      <c r="Y3" s="505"/>
      <c r="Z3" s="505"/>
      <c r="AA3" s="506"/>
      <c r="AB3" s="501" t="s">
        <v>5</v>
      </c>
      <c r="AC3" s="502"/>
      <c r="AD3" s="503"/>
    </row>
    <row r="4" spans="1:30" ht="15.75" customHeight="1" thickBot="1" x14ac:dyDescent="0.3">
      <c r="A4" s="491"/>
      <c r="B4" s="507"/>
      <c r="C4" s="508"/>
      <c r="D4" s="508"/>
      <c r="E4" s="508"/>
      <c r="F4" s="508"/>
      <c r="G4" s="508"/>
      <c r="H4" s="508"/>
      <c r="I4" s="508"/>
      <c r="J4" s="508"/>
      <c r="K4" s="508"/>
      <c r="L4" s="508"/>
      <c r="M4" s="508"/>
      <c r="N4" s="508"/>
      <c r="O4" s="508"/>
      <c r="P4" s="508"/>
      <c r="Q4" s="508"/>
      <c r="R4" s="508"/>
      <c r="S4" s="508"/>
      <c r="T4" s="508"/>
      <c r="U4" s="508"/>
      <c r="V4" s="508"/>
      <c r="W4" s="508"/>
      <c r="X4" s="508"/>
      <c r="Y4" s="508"/>
      <c r="Z4" s="508"/>
      <c r="AA4" s="509"/>
      <c r="AB4" s="510" t="s">
        <v>6</v>
      </c>
      <c r="AC4" s="511"/>
      <c r="AD4" s="512"/>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515" t="s">
        <v>7</v>
      </c>
      <c r="B7" s="516"/>
      <c r="C7" s="521" t="s">
        <v>40</v>
      </c>
      <c r="D7" s="515" t="s">
        <v>9</v>
      </c>
      <c r="E7" s="524"/>
      <c r="F7" s="524"/>
      <c r="G7" s="524"/>
      <c r="H7" s="516"/>
      <c r="I7" s="527">
        <v>44929</v>
      </c>
      <c r="J7" s="528"/>
      <c r="K7" s="515" t="s">
        <v>10</v>
      </c>
      <c r="L7" s="516"/>
      <c r="M7" s="543" t="s">
        <v>11</v>
      </c>
      <c r="N7" s="544"/>
      <c r="O7" s="533"/>
      <c r="P7" s="534"/>
      <c r="Q7" s="54"/>
      <c r="R7" s="54"/>
      <c r="S7" s="54"/>
      <c r="T7" s="54"/>
      <c r="U7" s="54"/>
      <c r="V7" s="54"/>
      <c r="W7" s="54"/>
      <c r="X7" s="54"/>
      <c r="Y7" s="54"/>
      <c r="Z7" s="55"/>
      <c r="AA7" s="54"/>
      <c r="AB7" s="54"/>
      <c r="AC7" s="60"/>
      <c r="AD7" s="61"/>
    </row>
    <row r="8" spans="1:30" x14ac:dyDescent="0.25">
      <c r="A8" s="517"/>
      <c r="B8" s="518"/>
      <c r="C8" s="522"/>
      <c r="D8" s="517"/>
      <c r="E8" s="525"/>
      <c r="F8" s="525"/>
      <c r="G8" s="525"/>
      <c r="H8" s="518"/>
      <c r="I8" s="529"/>
      <c r="J8" s="530"/>
      <c r="K8" s="517"/>
      <c r="L8" s="518"/>
      <c r="M8" s="535" t="s">
        <v>12</v>
      </c>
      <c r="N8" s="536"/>
      <c r="O8" s="537"/>
      <c r="P8" s="538"/>
      <c r="Q8" s="54"/>
      <c r="R8" s="54"/>
      <c r="S8" s="54"/>
      <c r="T8" s="54"/>
      <c r="U8" s="54"/>
      <c r="V8" s="54"/>
      <c r="W8" s="54"/>
      <c r="X8" s="54"/>
      <c r="Y8" s="54"/>
      <c r="Z8" s="55"/>
      <c r="AA8" s="54"/>
      <c r="AB8" s="54"/>
      <c r="AC8" s="60"/>
      <c r="AD8" s="61"/>
    </row>
    <row r="9" spans="1:30" ht="15.75" thickBot="1" x14ac:dyDescent="0.3">
      <c r="A9" s="519"/>
      <c r="B9" s="520"/>
      <c r="C9" s="523"/>
      <c r="D9" s="519"/>
      <c r="E9" s="526"/>
      <c r="F9" s="526"/>
      <c r="G9" s="526"/>
      <c r="H9" s="520"/>
      <c r="I9" s="531"/>
      <c r="J9" s="532"/>
      <c r="K9" s="519"/>
      <c r="L9" s="520"/>
      <c r="M9" s="539" t="s">
        <v>13</v>
      </c>
      <c r="N9" s="540"/>
      <c r="O9" s="541" t="s">
        <v>14</v>
      </c>
      <c r="P9" s="542"/>
      <c r="Q9" s="54"/>
      <c r="R9" s="54"/>
      <c r="S9" s="54"/>
      <c r="T9" s="54"/>
      <c r="U9" s="54"/>
      <c r="V9" s="54"/>
      <c r="W9" s="54"/>
      <c r="X9" s="54"/>
      <c r="Y9" s="54"/>
      <c r="Z9" s="55"/>
      <c r="AA9" s="54"/>
      <c r="AB9" s="54"/>
      <c r="AC9" s="60"/>
      <c r="AD9" s="61"/>
    </row>
    <row r="10" spans="1:30" ht="15" customHeight="1" thickBot="1" x14ac:dyDescent="0.3">
      <c r="A10" s="151"/>
      <c r="B10" s="152"/>
      <c r="C10" s="152"/>
      <c r="D10" s="65"/>
      <c r="E10" s="65"/>
      <c r="F10" s="65"/>
      <c r="G10" s="65"/>
      <c r="H10" s="65"/>
      <c r="I10" s="212"/>
      <c r="J10" s="212"/>
      <c r="K10" s="65"/>
      <c r="L10" s="65"/>
      <c r="M10" s="213"/>
      <c r="N10" s="213"/>
      <c r="O10" s="112"/>
      <c r="P10" s="112"/>
      <c r="Q10" s="152"/>
      <c r="R10" s="152"/>
      <c r="S10" s="152"/>
      <c r="T10" s="152"/>
      <c r="U10" s="152"/>
      <c r="V10" s="152"/>
      <c r="W10" s="152"/>
      <c r="X10" s="152"/>
      <c r="Y10" s="152"/>
      <c r="Z10" s="153"/>
      <c r="AA10" s="152"/>
      <c r="AB10" s="152"/>
      <c r="AC10" s="154"/>
      <c r="AD10" s="155"/>
    </row>
    <row r="11" spans="1:30" ht="15" customHeight="1" x14ac:dyDescent="0.25">
      <c r="A11" s="515" t="s">
        <v>15</v>
      </c>
      <c r="B11" s="516"/>
      <c r="C11" s="580" t="s">
        <v>113</v>
      </c>
      <c r="D11" s="581"/>
      <c r="E11" s="581"/>
      <c r="F11" s="581"/>
      <c r="G11" s="581"/>
      <c r="H11" s="581"/>
      <c r="I11" s="581"/>
      <c r="J11" s="581"/>
      <c r="K11" s="581"/>
      <c r="L11" s="581"/>
      <c r="M11" s="581"/>
      <c r="N11" s="581"/>
      <c r="O11" s="581"/>
      <c r="P11" s="581"/>
      <c r="Q11" s="581"/>
      <c r="R11" s="581"/>
      <c r="S11" s="581"/>
      <c r="T11" s="581"/>
      <c r="U11" s="581"/>
      <c r="V11" s="581"/>
      <c r="W11" s="581"/>
      <c r="X11" s="581"/>
      <c r="Y11" s="581"/>
      <c r="Z11" s="581"/>
      <c r="AA11" s="581"/>
      <c r="AB11" s="581"/>
      <c r="AC11" s="581"/>
      <c r="AD11" s="582"/>
    </row>
    <row r="12" spans="1:30" ht="15" customHeight="1" x14ac:dyDescent="0.25">
      <c r="A12" s="517"/>
      <c r="B12" s="518"/>
      <c r="C12" s="583"/>
      <c r="D12" s="584"/>
      <c r="E12" s="584"/>
      <c r="F12" s="584"/>
      <c r="G12" s="584"/>
      <c r="H12" s="584"/>
      <c r="I12" s="584"/>
      <c r="J12" s="584"/>
      <c r="K12" s="584"/>
      <c r="L12" s="584"/>
      <c r="M12" s="584"/>
      <c r="N12" s="584"/>
      <c r="O12" s="584"/>
      <c r="P12" s="584"/>
      <c r="Q12" s="584"/>
      <c r="R12" s="584"/>
      <c r="S12" s="584"/>
      <c r="T12" s="584"/>
      <c r="U12" s="584"/>
      <c r="V12" s="584"/>
      <c r="W12" s="584"/>
      <c r="X12" s="584"/>
      <c r="Y12" s="584"/>
      <c r="Z12" s="584"/>
      <c r="AA12" s="584"/>
      <c r="AB12" s="584"/>
      <c r="AC12" s="584"/>
      <c r="AD12" s="585"/>
    </row>
    <row r="13" spans="1:30" ht="15" customHeight="1" thickBot="1" x14ac:dyDescent="0.3">
      <c r="A13" s="519"/>
      <c r="B13" s="520"/>
      <c r="C13" s="586"/>
      <c r="D13" s="587"/>
      <c r="E13" s="587"/>
      <c r="F13" s="587"/>
      <c r="G13" s="587"/>
      <c r="H13" s="587"/>
      <c r="I13" s="587"/>
      <c r="J13" s="587"/>
      <c r="K13" s="587"/>
      <c r="L13" s="587"/>
      <c r="M13" s="587"/>
      <c r="N13" s="587"/>
      <c r="O13" s="587"/>
      <c r="P13" s="587"/>
      <c r="Q13" s="587"/>
      <c r="R13" s="587"/>
      <c r="S13" s="587"/>
      <c r="T13" s="587"/>
      <c r="U13" s="587"/>
      <c r="V13" s="587"/>
      <c r="W13" s="587"/>
      <c r="X13" s="587"/>
      <c r="Y13" s="587"/>
      <c r="Z13" s="587"/>
      <c r="AA13" s="587"/>
      <c r="AB13" s="587"/>
      <c r="AC13" s="587"/>
      <c r="AD13" s="588"/>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x14ac:dyDescent="0.3">
      <c r="A15" s="471" t="s">
        <v>17</v>
      </c>
      <c r="B15" s="472"/>
      <c r="C15" s="577" t="s">
        <v>114</v>
      </c>
      <c r="D15" s="578"/>
      <c r="E15" s="578"/>
      <c r="F15" s="578"/>
      <c r="G15" s="578"/>
      <c r="H15" s="578"/>
      <c r="I15" s="578"/>
      <c r="J15" s="578"/>
      <c r="K15" s="579"/>
      <c r="L15" s="484" t="s">
        <v>19</v>
      </c>
      <c r="M15" s="488"/>
      <c r="N15" s="488"/>
      <c r="O15" s="488"/>
      <c r="P15" s="488"/>
      <c r="Q15" s="485"/>
      <c r="R15" s="481" t="s">
        <v>115</v>
      </c>
      <c r="S15" s="482"/>
      <c r="T15" s="482"/>
      <c r="U15" s="482"/>
      <c r="V15" s="482"/>
      <c r="W15" s="482"/>
      <c r="X15" s="483"/>
      <c r="Y15" s="484" t="s">
        <v>21</v>
      </c>
      <c r="Z15" s="485"/>
      <c r="AA15" s="467" t="s">
        <v>116</v>
      </c>
      <c r="AB15" s="468"/>
      <c r="AC15" s="468"/>
      <c r="AD15" s="469"/>
    </row>
    <row r="16" spans="1:30" ht="9" customHeight="1" thickBot="1" x14ac:dyDescent="0.3">
      <c r="A16" s="59"/>
      <c r="B16" s="54"/>
      <c r="C16" s="470"/>
      <c r="D16" s="470"/>
      <c r="E16" s="470"/>
      <c r="F16" s="470"/>
      <c r="G16" s="470"/>
      <c r="H16" s="470"/>
      <c r="I16" s="470"/>
      <c r="J16" s="470"/>
      <c r="K16" s="470"/>
      <c r="L16" s="470"/>
      <c r="M16" s="470"/>
      <c r="N16" s="470"/>
      <c r="O16" s="470"/>
      <c r="P16" s="470"/>
      <c r="Q16" s="470"/>
      <c r="R16" s="470"/>
      <c r="S16" s="470"/>
      <c r="T16" s="470"/>
      <c r="U16" s="470"/>
      <c r="V16" s="470"/>
      <c r="W16" s="470"/>
      <c r="X16" s="470"/>
      <c r="Y16" s="470"/>
      <c r="Z16" s="470"/>
      <c r="AA16" s="470"/>
      <c r="AB16" s="470"/>
      <c r="AC16" s="73"/>
      <c r="AD16" s="74"/>
    </row>
    <row r="17" spans="1:41" s="214" customFormat="1" ht="37.5" customHeight="1" thickBot="1" x14ac:dyDescent="0.3">
      <c r="A17" s="471" t="s">
        <v>23</v>
      </c>
      <c r="B17" s="472"/>
      <c r="C17" s="574" t="s">
        <v>117</v>
      </c>
      <c r="D17" s="575"/>
      <c r="E17" s="575"/>
      <c r="F17" s="575"/>
      <c r="G17" s="575"/>
      <c r="H17" s="575"/>
      <c r="I17" s="575"/>
      <c r="J17" s="575"/>
      <c r="K17" s="575"/>
      <c r="L17" s="575"/>
      <c r="M17" s="575"/>
      <c r="N17" s="575"/>
      <c r="O17" s="575"/>
      <c r="P17" s="575"/>
      <c r="Q17" s="576"/>
      <c r="R17" s="484" t="s">
        <v>25</v>
      </c>
      <c r="S17" s="488"/>
      <c r="T17" s="488"/>
      <c r="U17" s="488"/>
      <c r="V17" s="485"/>
      <c r="W17" s="486">
        <v>0.3</v>
      </c>
      <c r="X17" s="487"/>
      <c r="Y17" s="488" t="s">
        <v>26</v>
      </c>
      <c r="Z17" s="488"/>
      <c r="AA17" s="488"/>
      <c r="AB17" s="485"/>
      <c r="AC17" s="476">
        <v>0.09</v>
      </c>
      <c r="AD17" s="477"/>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
      <c r="A19" s="484" t="s">
        <v>27</v>
      </c>
      <c r="B19" s="488"/>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5"/>
      <c r="AE19" s="215"/>
      <c r="AF19" s="215"/>
    </row>
    <row r="20" spans="1:41" ht="32.25" customHeight="1" thickBot="1" x14ac:dyDescent="0.3">
      <c r="A20" s="246"/>
      <c r="B20" s="58"/>
      <c r="C20" s="484" t="s">
        <v>28</v>
      </c>
      <c r="D20" s="488"/>
      <c r="E20" s="488"/>
      <c r="F20" s="488"/>
      <c r="G20" s="488"/>
      <c r="H20" s="488"/>
      <c r="I20" s="488"/>
      <c r="J20" s="488"/>
      <c r="K20" s="488"/>
      <c r="L20" s="488"/>
      <c r="M20" s="488"/>
      <c r="N20" s="488"/>
      <c r="O20" s="488"/>
      <c r="P20" s="485"/>
      <c r="Q20" s="484" t="s">
        <v>29</v>
      </c>
      <c r="R20" s="488"/>
      <c r="S20" s="488"/>
      <c r="T20" s="488"/>
      <c r="U20" s="488"/>
      <c r="V20" s="488"/>
      <c r="W20" s="488"/>
      <c r="X20" s="488"/>
      <c r="Y20" s="488"/>
      <c r="Z20" s="488"/>
      <c r="AA20" s="488"/>
      <c r="AB20" s="488"/>
      <c r="AC20" s="488"/>
      <c r="AD20" s="485"/>
      <c r="AE20" s="215"/>
      <c r="AF20" s="215"/>
    </row>
    <row r="21" spans="1:41" ht="32.25" customHeight="1" thickBot="1" x14ac:dyDescent="0.3">
      <c r="A21" s="59"/>
      <c r="B21" s="247"/>
      <c r="C21" s="324" t="s">
        <v>30</v>
      </c>
      <c r="D21" s="187" t="s">
        <v>31</v>
      </c>
      <c r="E21" s="187" t="s">
        <v>32</v>
      </c>
      <c r="F21" s="187" t="s">
        <v>33</v>
      </c>
      <c r="G21" s="187" t="s">
        <v>34</v>
      </c>
      <c r="H21" s="187" t="s">
        <v>35</v>
      </c>
      <c r="I21" s="187" t="s">
        <v>8</v>
      </c>
      <c r="J21" s="187" t="s">
        <v>36</v>
      </c>
      <c r="K21" s="187" t="s">
        <v>37</v>
      </c>
      <c r="L21" s="187" t="s">
        <v>38</v>
      </c>
      <c r="M21" s="187" t="s">
        <v>39</v>
      </c>
      <c r="N21" s="187" t="s">
        <v>40</v>
      </c>
      <c r="O21" s="187" t="s">
        <v>41</v>
      </c>
      <c r="P21" s="188" t="s">
        <v>42</v>
      </c>
      <c r="Q21" s="324" t="s">
        <v>30</v>
      </c>
      <c r="R21" s="187" t="s">
        <v>31</v>
      </c>
      <c r="S21" s="187" t="s">
        <v>32</v>
      </c>
      <c r="T21" s="187" t="s">
        <v>33</v>
      </c>
      <c r="U21" s="187" t="s">
        <v>34</v>
      </c>
      <c r="V21" s="187" t="s">
        <v>35</v>
      </c>
      <c r="W21" s="187" t="s">
        <v>8</v>
      </c>
      <c r="X21" s="187" t="s">
        <v>36</v>
      </c>
      <c r="Y21" s="187" t="s">
        <v>37</v>
      </c>
      <c r="Z21" s="187" t="s">
        <v>38</v>
      </c>
      <c r="AA21" s="187" t="s">
        <v>39</v>
      </c>
      <c r="AB21" s="187" t="s">
        <v>40</v>
      </c>
      <c r="AC21" s="187" t="s">
        <v>41</v>
      </c>
      <c r="AD21" s="188" t="s">
        <v>42</v>
      </c>
      <c r="AE21" s="216"/>
      <c r="AF21" s="216"/>
    </row>
    <row r="22" spans="1:41" ht="32.25" customHeight="1" x14ac:dyDescent="0.25">
      <c r="A22" s="180" t="s">
        <v>43</v>
      </c>
      <c r="B22" s="248"/>
      <c r="C22" s="239" t="s">
        <v>44</v>
      </c>
      <c r="D22" s="239" t="s">
        <v>44</v>
      </c>
      <c r="E22" s="239" t="s">
        <v>44</v>
      </c>
      <c r="F22" s="239" t="s">
        <v>44</v>
      </c>
      <c r="G22" s="239" t="s">
        <v>44</v>
      </c>
      <c r="H22" s="239" t="s">
        <v>44</v>
      </c>
      <c r="I22" s="239" t="s">
        <v>44</v>
      </c>
      <c r="J22" s="239" t="s">
        <v>44</v>
      </c>
      <c r="K22" s="239" t="s">
        <v>44</v>
      </c>
      <c r="L22" s="239" t="s">
        <v>44</v>
      </c>
      <c r="M22" s="239" t="s">
        <v>44</v>
      </c>
      <c r="N22" s="239" t="s">
        <v>44</v>
      </c>
      <c r="O22" s="239">
        <f>SUM(C22:N22)</f>
        <v>0</v>
      </c>
      <c r="P22" s="237"/>
      <c r="Q22" s="253">
        <v>387711574.85000002</v>
      </c>
      <c r="R22" s="239"/>
      <c r="S22" s="239"/>
      <c r="T22" s="239">
        <v>8596121.9199999999</v>
      </c>
      <c r="U22" s="239">
        <v>51522000</v>
      </c>
      <c r="V22" s="239"/>
      <c r="W22" s="239"/>
      <c r="X22" s="239"/>
      <c r="Y22" s="239"/>
      <c r="Z22" s="239"/>
      <c r="AA22" s="239"/>
      <c r="AB22" s="239">
        <f>416167147-Q22-R22-S22-T22-U22-V22-W22-X22-Y22-Z22-AA22</f>
        <v>-31662549.770000026</v>
      </c>
      <c r="AC22" s="239">
        <f>SUM(Q22:AB22)</f>
        <v>416167147</v>
      </c>
      <c r="AD22" s="284"/>
      <c r="AE22" s="216"/>
      <c r="AF22" s="216"/>
    </row>
    <row r="23" spans="1:41" ht="32.25" customHeight="1" x14ac:dyDescent="0.25">
      <c r="A23" s="181" t="s">
        <v>45</v>
      </c>
      <c r="B23" s="182"/>
      <c r="C23" s="238" t="s">
        <v>46</v>
      </c>
      <c r="D23" s="239" t="s">
        <v>46</v>
      </c>
      <c r="E23" s="239" t="s">
        <v>46</v>
      </c>
      <c r="F23" s="239" t="s">
        <v>46</v>
      </c>
      <c r="G23" s="239" t="s">
        <v>46</v>
      </c>
      <c r="H23" s="239" t="s">
        <v>46</v>
      </c>
      <c r="I23" s="239" t="s">
        <v>46</v>
      </c>
      <c r="J23" s="239" t="s">
        <v>46</v>
      </c>
      <c r="K23" s="239" t="s">
        <v>46</v>
      </c>
      <c r="L23" s="239" t="s">
        <v>46</v>
      </c>
      <c r="M23" s="239" t="s">
        <v>46</v>
      </c>
      <c r="N23" s="239" t="s">
        <v>46</v>
      </c>
      <c r="O23" s="241" t="s">
        <v>46</v>
      </c>
      <c r="P23" s="237"/>
      <c r="Q23" s="253">
        <v>319526075</v>
      </c>
      <c r="R23" s="239">
        <v>0</v>
      </c>
      <c r="S23" s="239">
        <f>316541000-Q23</f>
        <v>-2985075</v>
      </c>
      <c r="T23" s="239">
        <f>-339933</f>
        <v>-339933</v>
      </c>
      <c r="U23" s="239">
        <f>323930461-Q23-R23-S23-T23</f>
        <v>7729394</v>
      </c>
      <c r="V23" s="239">
        <f>375451614-Q23-R23-S23-T23-U23</f>
        <v>51521153</v>
      </c>
      <c r="W23" s="239">
        <f>418166514-Q23-R23-S23-T23-U23-V23</f>
        <v>42714900</v>
      </c>
      <c r="X23" s="239">
        <f>418166514-Q23-R23-S23-T23-U23-V23-W23</f>
        <v>0</v>
      </c>
      <c r="Y23" s="239">
        <f>416167147-Q23-R23-S23-T23-U23-V23-W23-X23</f>
        <v>-1999367</v>
      </c>
      <c r="Z23" s="239">
        <f>416167147-Q23-R23-S23-T23-U23-V23-W23-X23-Y23</f>
        <v>0</v>
      </c>
      <c r="AA23" s="239">
        <f>416167147-Q23-R23-S23-T23-U23-V23-W23-X23-Y23-Z23</f>
        <v>0</v>
      </c>
      <c r="AB23" s="239">
        <f>416167147-Q23-R23-S23-T23-U23-V23-W23-X23-Y23-Z23-AA23</f>
        <v>0</v>
      </c>
      <c r="AC23" s="239">
        <f t="shared" ref="AC23:AC25" si="0">SUM(Q23:AB23)</f>
        <v>416167147</v>
      </c>
      <c r="AD23" s="283">
        <f>(SUM(Q23:AB23)/SUM(Q22:AB22))</f>
        <v>1</v>
      </c>
      <c r="AE23" s="216"/>
      <c r="AF23" s="216"/>
    </row>
    <row r="24" spans="1:41" ht="32.25" customHeight="1" x14ac:dyDescent="0.25">
      <c r="A24" s="181" t="s">
        <v>47</v>
      </c>
      <c r="B24" s="182"/>
      <c r="C24" s="253" t="s">
        <v>44</v>
      </c>
      <c r="D24" s="241">
        <f>71083807+608000</f>
        <v>71691807</v>
      </c>
      <c r="E24" s="241"/>
      <c r="F24" s="241">
        <v>333333</v>
      </c>
      <c r="G24" s="241">
        <f>22750+79750-189999.9-356083.05</f>
        <v>-443582.94999999995</v>
      </c>
      <c r="H24" s="239" t="s">
        <v>44</v>
      </c>
      <c r="I24" s="239" t="s">
        <v>44</v>
      </c>
      <c r="J24" s="239" t="s">
        <v>44</v>
      </c>
      <c r="K24" s="239" t="s">
        <v>44</v>
      </c>
      <c r="L24" s="239">
        <v>79750</v>
      </c>
      <c r="M24" s="239" t="s">
        <v>44</v>
      </c>
      <c r="N24" s="239">
        <f>71501807-71661307</f>
        <v>-159500</v>
      </c>
      <c r="O24" s="241">
        <f>SUM(C24:N24)</f>
        <v>71501807.049999997</v>
      </c>
      <c r="P24" s="237"/>
      <c r="Q24" s="253"/>
      <c r="R24" s="241">
        <v>15347586.16</v>
      </c>
      <c r="S24" s="239">
        <v>29005022.493333299</v>
      </c>
      <c r="T24" s="239">
        <v>28754222.493333299</v>
      </c>
      <c r="U24" s="239">
        <v>28754222.493333299</v>
      </c>
      <c r="V24" s="239">
        <v>28754222.493333299</v>
      </c>
      <c r="W24" s="241">
        <v>41953972.493333302</v>
      </c>
      <c r="X24" s="241">
        <v>54007972.493333302</v>
      </c>
      <c r="Y24" s="241">
        <v>57007972.493333302</v>
      </c>
      <c r="Z24" s="241">
        <v>57007972.493333302</v>
      </c>
      <c r="AA24" s="241">
        <v>41127472.493333302</v>
      </c>
      <c r="AB24" s="239">
        <f>416167147-Q24-R24-S24-T24-U24-V24-W24-X24-Y24-Z24-AA24</f>
        <v>34446508.400000311</v>
      </c>
      <c r="AC24" s="239">
        <f t="shared" si="0"/>
        <v>416167147</v>
      </c>
      <c r="AD24" s="283"/>
      <c r="AE24" s="216"/>
      <c r="AF24" s="216"/>
      <c r="AG24" s="217"/>
    </row>
    <row r="25" spans="1:41" ht="32.25" customHeight="1" thickBot="1" x14ac:dyDescent="0.3">
      <c r="A25" s="183" t="s">
        <v>48</v>
      </c>
      <c r="B25" s="249"/>
      <c r="C25" s="254">
        <v>57285046</v>
      </c>
      <c r="D25" s="255">
        <f>57285046-C25</f>
        <v>0</v>
      </c>
      <c r="E25" s="255">
        <v>14216761</v>
      </c>
      <c r="F25" s="255">
        <v>0</v>
      </c>
      <c r="G25" s="255">
        <f>71501807-C25-D25-E25-F25</f>
        <v>0</v>
      </c>
      <c r="H25" s="255">
        <v>0</v>
      </c>
      <c r="I25" s="255" t="s">
        <v>44</v>
      </c>
      <c r="J25" s="255" t="s">
        <v>44</v>
      </c>
      <c r="K25" s="255" t="s">
        <v>44</v>
      </c>
      <c r="L25" s="255" t="s">
        <v>44</v>
      </c>
      <c r="M25" s="255" t="s">
        <v>44</v>
      </c>
      <c r="N25" s="255" t="s">
        <v>44</v>
      </c>
      <c r="O25" s="258">
        <f>SUM(C25:N25)</f>
        <v>71501807</v>
      </c>
      <c r="P25" s="369">
        <f>(SUM(C25:N25)/SUM(C24:N24))</f>
        <v>0.99999999930071704</v>
      </c>
      <c r="Q25" s="254" t="s">
        <v>44</v>
      </c>
      <c r="R25" s="255">
        <v>13035937</v>
      </c>
      <c r="S25" s="255">
        <v>28442341</v>
      </c>
      <c r="T25" s="255">
        <v>27635000</v>
      </c>
      <c r="U25" s="255">
        <f>96748278-R25-S25-T25</f>
        <v>27635000</v>
      </c>
      <c r="V25" s="255">
        <f>132112672-R25-S25-T25-U25</f>
        <v>35364394</v>
      </c>
      <c r="W25" s="255">
        <f>159747672-R25-S25-T25-U25-V25</f>
        <v>27635000</v>
      </c>
      <c r="X25" s="255">
        <f>193268565-R25-S25-T25-U25-V25-W25</f>
        <v>33520893</v>
      </c>
      <c r="Y25" s="255">
        <f>253441537-R25-S25-T25-U25-V25-W25-X25</f>
        <v>60172972</v>
      </c>
      <c r="Z25" s="255">
        <f>289472687-R25-S25-T25-U25-V25-W25-X25-Y25</f>
        <v>36031150</v>
      </c>
      <c r="AA25" s="255">
        <f>323205237-R25-S25-T25-U25-V25-W25-X25-Y25-Z25</f>
        <v>33732550</v>
      </c>
      <c r="AB25" s="255">
        <f>416167147-R25-S25-T25-U25-V25-W25-X25-Y25-Z25-AA25</f>
        <v>92961910</v>
      </c>
      <c r="AC25" s="255">
        <f t="shared" si="0"/>
        <v>416167147</v>
      </c>
      <c r="AD25" s="282">
        <f>(SUM(Q25:AB25)/SUM(Q24:AB24))</f>
        <v>1</v>
      </c>
      <c r="AE25" s="216"/>
      <c r="AF25" s="216"/>
      <c r="AG25" s="217"/>
      <c r="AH25" s="215"/>
    </row>
    <row r="26" spans="1:41" ht="32.25" customHeight="1" thickBot="1" x14ac:dyDescent="0.3">
      <c r="A26" s="59"/>
      <c r="B26" s="54"/>
      <c r="C26" s="80"/>
      <c r="D26" s="80"/>
      <c r="E26" s="80"/>
      <c r="F26" s="80"/>
      <c r="G26" s="80"/>
      <c r="H26" s="80"/>
      <c r="I26" s="80"/>
      <c r="J26" s="80"/>
      <c r="K26" s="80"/>
      <c r="L26" s="80"/>
      <c r="M26" s="80"/>
      <c r="N26" s="80"/>
      <c r="O26" s="268"/>
      <c r="P26" s="268"/>
      <c r="Q26" s="80"/>
      <c r="R26" s="80"/>
      <c r="S26" s="80"/>
      <c r="T26" s="80"/>
      <c r="U26" s="80"/>
      <c r="V26" s="80"/>
      <c r="W26" s="80"/>
      <c r="X26" s="80"/>
      <c r="Y26" s="80"/>
      <c r="Z26" s="80"/>
      <c r="AA26" s="80"/>
      <c r="AB26" s="80"/>
      <c r="AC26" s="60"/>
      <c r="AD26" s="155"/>
    </row>
    <row r="27" spans="1:41" ht="33.950000000000003" customHeight="1" x14ac:dyDescent="0.25">
      <c r="A27" s="463" t="s">
        <v>49</v>
      </c>
      <c r="B27" s="464"/>
      <c r="C27" s="465"/>
      <c r="D27" s="465"/>
      <c r="E27" s="465"/>
      <c r="F27" s="465"/>
      <c r="G27" s="465"/>
      <c r="H27" s="465"/>
      <c r="I27" s="465"/>
      <c r="J27" s="465"/>
      <c r="K27" s="465"/>
      <c r="L27" s="465"/>
      <c r="M27" s="465"/>
      <c r="N27" s="465"/>
      <c r="O27" s="465"/>
      <c r="P27" s="465"/>
      <c r="Q27" s="465"/>
      <c r="R27" s="465"/>
      <c r="S27" s="465"/>
      <c r="T27" s="465"/>
      <c r="U27" s="465"/>
      <c r="V27" s="465"/>
      <c r="W27" s="465"/>
      <c r="X27" s="465"/>
      <c r="Y27" s="465"/>
      <c r="Z27" s="465"/>
      <c r="AA27" s="465"/>
      <c r="AB27" s="465"/>
      <c r="AC27" s="465"/>
      <c r="AD27" s="466"/>
    </row>
    <row r="28" spans="1:41" ht="15" customHeight="1" x14ac:dyDescent="0.25">
      <c r="A28" s="458" t="s">
        <v>50</v>
      </c>
      <c r="B28" s="460" t="s">
        <v>51</v>
      </c>
      <c r="C28" s="461"/>
      <c r="D28" s="423" t="s">
        <v>52</v>
      </c>
      <c r="E28" s="424"/>
      <c r="F28" s="424"/>
      <c r="G28" s="424"/>
      <c r="H28" s="424"/>
      <c r="I28" s="424"/>
      <c r="J28" s="424"/>
      <c r="K28" s="424"/>
      <c r="L28" s="424"/>
      <c r="M28" s="424"/>
      <c r="N28" s="424"/>
      <c r="O28" s="462"/>
      <c r="P28" s="451" t="s">
        <v>41</v>
      </c>
      <c r="Q28" s="451" t="s">
        <v>53</v>
      </c>
      <c r="R28" s="451"/>
      <c r="S28" s="451"/>
      <c r="T28" s="451"/>
      <c r="U28" s="451"/>
      <c r="V28" s="451"/>
      <c r="W28" s="451"/>
      <c r="X28" s="451"/>
      <c r="Y28" s="451"/>
      <c r="Z28" s="451"/>
      <c r="AA28" s="451"/>
      <c r="AB28" s="451"/>
      <c r="AC28" s="451"/>
      <c r="AD28" s="453"/>
    </row>
    <row r="29" spans="1:41" ht="27" customHeight="1" x14ac:dyDescent="0.25">
      <c r="A29" s="459"/>
      <c r="B29" s="454"/>
      <c r="C29" s="456"/>
      <c r="D29" s="88" t="s">
        <v>30</v>
      </c>
      <c r="E29" s="88" t="s">
        <v>31</v>
      </c>
      <c r="F29" s="88" t="s">
        <v>32</v>
      </c>
      <c r="G29" s="88" t="s">
        <v>33</v>
      </c>
      <c r="H29" s="88" t="s">
        <v>34</v>
      </c>
      <c r="I29" s="88" t="s">
        <v>35</v>
      </c>
      <c r="J29" s="88" t="s">
        <v>8</v>
      </c>
      <c r="K29" s="88" t="s">
        <v>36</v>
      </c>
      <c r="L29" s="88" t="s">
        <v>37</v>
      </c>
      <c r="M29" s="88" t="s">
        <v>38</v>
      </c>
      <c r="N29" s="88" t="s">
        <v>39</v>
      </c>
      <c r="O29" s="88" t="s">
        <v>40</v>
      </c>
      <c r="P29" s="462"/>
      <c r="Q29" s="451"/>
      <c r="R29" s="451"/>
      <c r="S29" s="451"/>
      <c r="T29" s="451"/>
      <c r="U29" s="451"/>
      <c r="V29" s="451"/>
      <c r="W29" s="451"/>
      <c r="X29" s="451"/>
      <c r="Y29" s="451"/>
      <c r="Z29" s="451"/>
      <c r="AA29" s="451"/>
      <c r="AB29" s="451"/>
      <c r="AC29" s="451"/>
      <c r="AD29" s="453"/>
    </row>
    <row r="30" spans="1:41" ht="42" customHeight="1" thickBot="1" x14ac:dyDescent="0.3">
      <c r="A30" s="85"/>
      <c r="B30" s="572"/>
      <c r="C30" s="573"/>
      <c r="D30" s="89"/>
      <c r="E30" s="89"/>
      <c r="F30" s="89"/>
      <c r="G30" s="89"/>
      <c r="H30" s="89"/>
      <c r="I30" s="89"/>
      <c r="J30" s="89"/>
      <c r="K30" s="89"/>
      <c r="L30" s="89"/>
      <c r="M30" s="89"/>
      <c r="N30" s="89"/>
      <c r="O30" s="89"/>
      <c r="P30" s="86">
        <f>SUM(D30:O30)</f>
        <v>0</v>
      </c>
      <c r="Q30" s="446" t="s">
        <v>542</v>
      </c>
      <c r="R30" s="446"/>
      <c r="S30" s="446"/>
      <c r="T30" s="446"/>
      <c r="U30" s="446"/>
      <c r="V30" s="446"/>
      <c r="W30" s="446"/>
      <c r="X30" s="446"/>
      <c r="Y30" s="446"/>
      <c r="Z30" s="446"/>
      <c r="AA30" s="446"/>
      <c r="AB30" s="446"/>
      <c r="AC30" s="446"/>
      <c r="AD30" s="447"/>
    </row>
    <row r="31" spans="1:41" ht="45" customHeight="1" x14ac:dyDescent="0.25">
      <c r="A31" s="448" t="s">
        <v>55</v>
      </c>
      <c r="B31" s="449"/>
      <c r="C31" s="449"/>
      <c r="D31" s="449"/>
      <c r="E31" s="449"/>
      <c r="F31" s="449"/>
      <c r="G31" s="449"/>
      <c r="H31" s="449"/>
      <c r="I31" s="449"/>
      <c r="J31" s="449"/>
      <c r="K31" s="449"/>
      <c r="L31" s="449"/>
      <c r="M31" s="449"/>
      <c r="N31" s="449"/>
      <c r="O31" s="449"/>
      <c r="P31" s="449"/>
      <c r="Q31" s="449"/>
      <c r="R31" s="449"/>
      <c r="S31" s="449"/>
      <c r="T31" s="449"/>
      <c r="U31" s="449"/>
      <c r="V31" s="449"/>
      <c r="W31" s="449"/>
      <c r="X31" s="449"/>
      <c r="Y31" s="449"/>
      <c r="Z31" s="449"/>
      <c r="AA31" s="449"/>
      <c r="AB31" s="449"/>
      <c r="AC31" s="449"/>
      <c r="AD31" s="450"/>
    </row>
    <row r="32" spans="1:41" ht="23.25" customHeight="1" x14ac:dyDescent="0.25">
      <c r="A32" s="416" t="s">
        <v>56</v>
      </c>
      <c r="B32" s="451" t="s">
        <v>57</v>
      </c>
      <c r="C32" s="451" t="s">
        <v>51</v>
      </c>
      <c r="D32" s="451" t="s">
        <v>58</v>
      </c>
      <c r="E32" s="451"/>
      <c r="F32" s="451"/>
      <c r="G32" s="451"/>
      <c r="H32" s="451"/>
      <c r="I32" s="451"/>
      <c r="J32" s="451"/>
      <c r="K32" s="451"/>
      <c r="L32" s="451"/>
      <c r="M32" s="451"/>
      <c r="N32" s="451"/>
      <c r="O32" s="451"/>
      <c r="P32" s="451"/>
      <c r="Q32" s="451" t="s">
        <v>59</v>
      </c>
      <c r="R32" s="451"/>
      <c r="S32" s="451"/>
      <c r="T32" s="451"/>
      <c r="U32" s="451"/>
      <c r="V32" s="451"/>
      <c r="W32" s="451"/>
      <c r="X32" s="451"/>
      <c r="Y32" s="451"/>
      <c r="Z32" s="451"/>
      <c r="AA32" s="451"/>
      <c r="AB32" s="451"/>
      <c r="AC32" s="451"/>
      <c r="AD32" s="453"/>
      <c r="AG32" s="218"/>
      <c r="AH32" s="218"/>
      <c r="AI32" s="218"/>
      <c r="AJ32" s="218"/>
      <c r="AK32" s="218"/>
      <c r="AL32" s="218"/>
      <c r="AM32" s="218"/>
      <c r="AN32" s="218"/>
      <c r="AO32" s="218"/>
    </row>
    <row r="33" spans="1:41" ht="40.5" customHeight="1" x14ac:dyDescent="0.25">
      <c r="A33" s="416"/>
      <c r="B33" s="451"/>
      <c r="C33" s="452"/>
      <c r="D33" s="88" t="s">
        <v>30</v>
      </c>
      <c r="E33" s="88" t="s">
        <v>31</v>
      </c>
      <c r="F33" s="88" t="s">
        <v>32</v>
      </c>
      <c r="G33" s="88" t="s">
        <v>33</v>
      </c>
      <c r="H33" s="88" t="s">
        <v>34</v>
      </c>
      <c r="I33" s="88" t="s">
        <v>35</v>
      </c>
      <c r="J33" s="88" t="s">
        <v>8</v>
      </c>
      <c r="K33" s="88" t="s">
        <v>36</v>
      </c>
      <c r="L33" s="88" t="s">
        <v>37</v>
      </c>
      <c r="M33" s="88" t="s">
        <v>38</v>
      </c>
      <c r="N33" s="88" t="s">
        <v>39</v>
      </c>
      <c r="O33" s="88" t="s">
        <v>40</v>
      </c>
      <c r="P33" s="88" t="s">
        <v>41</v>
      </c>
      <c r="Q33" s="454" t="s">
        <v>60</v>
      </c>
      <c r="R33" s="455"/>
      <c r="S33" s="455"/>
      <c r="T33" s="455"/>
      <c r="U33" s="455"/>
      <c r="V33" s="456"/>
      <c r="W33" s="454" t="s">
        <v>61</v>
      </c>
      <c r="X33" s="455"/>
      <c r="Y33" s="455"/>
      <c r="Z33" s="456"/>
      <c r="AA33" s="454" t="s">
        <v>62</v>
      </c>
      <c r="AB33" s="455"/>
      <c r="AC33" s="455"/>
      <c r="AD33" s="457"/>
      <c r="AG33" s="218"/>
      <c r="AH33" s="218"/>
      <c r="AI33" s="218"/>
      <c r="AJ33" s="218"/>
      <c r="AK33" s="218"/>
      <c r="AL33" s="218"/>
      <c r="AM33" s="218"/>
      <c r="AN33" s="218"/>
      <c r="AO33" s="218"/>
    </row>
    <row r="34" spans="1:41" ht="94.5" customHeight="1" x14ac:dyDescent="0.25">
      <c r="A34" s="426" t="s">
        <v>118</v>
      </c>
      <c r="B34" s="428">
        <f>SUM(B38+B40+B42+B44)</f>
        <v>9.0000000000000011E-2</v>
      </c>
      <c r="C34" s="90" t="s">
        <v>63</v>
      </c>
      <c r="D34" s="206">
        <f>D69</f>
        <v>0</v>
      </c>
      <c r="E34" s="206">
        <f t="shared" ref="E34:O34" si="1">E69</f>
        <v>1.3333333333333336E-2</v>
      </c>
      <c r="F34" s="206">
        <f t="shared" si="1"/>
        <v>2.1666666666666664E-2</v>
      </c>
      <c r="G34" s="206">
        <f t="shared" si="1"/>
        <v>0.03</v>
      </c>
      <c r="H34" s="206">
        <f t="shared" si="1"/>
        <v>0.03</v>
      </c>
      <c r="I34" s="206">
        <f t="shared" si="1"/>
        <v>3.833333333333333E-2</v>
      </c>
      <c r="J34" s="206">
        <f t="shared" si="1"/>
        <v>3.3333333333333333E-2</v>
      </c>
      <c r="K34" s="206">
        <f t="shared" si="1"/>
        <v>0.03</v>
      </c>
      <c r="L34" s="206">
        <f t="shared" si="1"/>
        <v>0.03</v>
      </c>
      <c r="M34" s="206">
        <f t="shared" si="1"/>
        <v>0.03</v>
      </c>
      <c r="N34" s="206">
        <f t="shared" si="1"/>
        <v>0.03</v>
      </c>
      <c r="O34" s="206">
        <f t="shared" si="1"/>
        <v>1.3333333333333336E-2</v>
      </c>
      <c r="P34" s="207">
        <f>SUM(D34:O34)</f>
        <v>0.29999999999999993</v>
      </c>
      <c r="Q34" s="430" t="s">
        <v>597</v>
      </c>
      <c r="R34" s="431"/>
      <c r="S34" s="431"/>
      <c r="T34" s="431"/>
      <c r="U34" s="431"/>
      <c r="V34" s="432"/>
      <c r="W34" s="436" t="s">
        <v>551</v>
      </c>
      <c r="X34" s="437"/>
      <c r="Y34" s="437"/>
      <c r="Z34" s="438"/>
      <c r="AA34" s="430" t="s">
        <v>552</v>
      </c>
      <c r="AB34" s="431"/>
      <c r="AC34" s="431"/>
      <c r="AD34" s="442"/>
      <c r="AG34" s="218"/>
      <c r="AH34" s="218"/>
      <c r="AI34" s="218"/>
      <c r="AJ34" s="218"/>
      <c r="AK34" s="218"/>
      <c r="AL34" s="218"/>
      <c r="AM34" s="218"/>
      <c r="AN34" s="218"/>
      <c r="AO34" s="218"/>
    </row>
    <row r="35" spans="1:41" ht="204.75" customHeight="1" thickBot="1" x14ac:dyDescent="0.3">
      <c r="A35" s="427"/>
      <c r="B35" s="429"/>
      <c r="C35" s="91" t="s">
        <v>64</v>
      </c>
      <c r="D35" s="266">
        <f>D66</f>
        <v>4.0000000000000001E-3</v>
      </c>
      <c r="E35" s="266">
        <f t="shared" ref="E35:O35" si="2">E66</f>
        <v>1.3333333333333336E-2</v>
      </c>
      <c r="F35" s="266">
        <f t="shared" si="2"/>
        <v>2.1666666666666664E-2</v>
      </c>
      <c r="G35" s="266">
        <f t="shared" si="2"/>
        <v>0.03</v>
      </c>
      <c r="H35" s="266">
        <f t="shared" si="2"/>
        <v>0.03</v>
      </c>
      <c r="I35" s="266">
        <f t="shared" si="2"/>
        <v>3.833333333333333E-2</v>
      </c>
      <c r="J35" s="266">
        <f t="shared" si="2"/>
        <v>3.3333333333333333E-2</v>
      </c>
      <c r="K35" s="266">
        <f t="shared" si="2"/>
        <v>0.03</v>
      </c>
      <c r="L35" s="266">
        <f t="shared" si="2"/>
        <v>0.03</v>
      </c>
      <c r="M35" s="266">
        <f t="shared" si="2"/>
        <v>0.03</v>
      </c>
      <c r="N35" s="266">
        <f t="shared" si="2"/>
        <v>2.3999999999999997E-2</v>
      </c>
      <c r="O35" s="266">
        <f t="shared" si="2"/>
        <v>1.5333333333333331E-2</v>
      </c>
      <c r="P35" s="208">
        <f>SUM(D35:O35)</f>
        <v>0.3</v>
      </c>
      <c r="Q35" s="433"/>
      <c r="R35" s="434"/>
      <c r="S35" s="434"/>
      <c r="T35" s="434"/>
      <c r="U35" s="434"/>
      <c r="V35" s="435"/>
      <c r="W35" s="439"/>
      <c r="X35" s="440"/>
      <c r="Y35" s="440"/>
      <c r="Z35" s="441"/>
      <c r="AA35" s="433"/>
      <c r="AB35" s="434"/>
      <c r="AC35" s="434"/>
      <c r="AD35" s="443"/>
      <c r="AE35" s="219"/>
      <c r="AG35" s="218"/>
      <c r="AH35" s="218"/>
      <c r="AI35" s="218"/>
      <c r="AJ35" s="218"/>
      <c r="AK35" s="218"/>
      <c r="AL35" s="218"/>
      <c r="AM35" s="218"/>
      <c r="AN35" s="218"/>
      <c r="AO35" s="218"/>
    </row>
    <row r="36" spans="1:41" ht="26.25" customHeight="1" x14ac:dyDescent="0.25">
      <c r="A36" s="448" t="s">
        <v>65</v>
      </c>
      <c r="B36" s="417" t="s">
        <v>66</v>
      </c>
      <c r="C36" s="419" t="s">
        <v>67</v>
      </c>
      <c r="D36" s="419"/>
      <c r="E36" s="419"/>
      <c r="F36" s="419"/>
      <c r="G36" s="419"/>
      <c r="H36" s="419"/>
      <c r="I36" s="419"/>
      <c r="J36" s="419"/>
      <c r="K36" s="419"/>
      <c r="L36" s="419"/>
      <c r="M36" s="419"/>
      <c r="N36" s="419"/>
      <c r="O36" s="419"/>
      <c r="P36" s="419"/>
      <c r="Q36" s="420" t="s">
        <v>68</v>
      </c>
      <c r="R36" s="421"/>
      <c r="S36" s="421"/>
      <c r="T36" s="421"/>
      <c r="U36" s="421"/>
      <c r="V36" s="421"/>
      <c r="W36" s="421"/>
      <c r="X36" s="421"/>
      <c r="Y36" s="421"/>
      <c r="Z36" s="421"/>
      <c r="AA36" s="421"/>
      <c r="AB36" s="421"/>
      <c r="AC36" s="421"/>
      <c r="AD36" s="422"/>
      <c r="AG36" s="218"/>
      <c r="AH36" s="218"/>
      <c r="AI36" s="218"/>
      <c r="AJ36" s="218"/>
      <c r="AK36" s="218"/>
      <c r="AL36" s="218"/>
      <c r="AM36" s="218"/>
      <c r="AN36" s="218"/>
      <c r="AO36" s="218"/>
    </row>
    <row r="37" spans="1:41" ht="26.25" customHeight="1" x14ac:dyDescent="0.25">
      <c r="A37" s="571"/>
      <c r="B37" s="418"/>
      <c r="C37" s="88" t="s">
        <v>69</v>
      </c>
      <c r="D37" s="88" t="s">
        <v>70</v>
      </c>
      <c r="E37" s="88" t="s">
        <v>71</v>
      </c>
      <c r="F37" s="88" t="s">
        <v>72</v>
      </c>
      <c r="G37" s="88" t="s">
        <v>73</v>
      </c>
      <c r="H37" s="88" t="s">
        <v>74</v>
      </c>
      <c r="I37" s="88" t="s">
        <v>75</v>
      </c>
      <c r="J37" s="88" t="s">
        <v>76</v>
      </c>
      <c r="K37" s="88" t="s">
        <v>77</v>
      </c>
      <c r="L37" s="88" t="s">
        <v>78</v>
      </c>
      <c r="M37" s="88" t="s">
        <v>79</v>
      </c>
      <c r="N37" s="88" t="s">
        <v>80</v>
      </c>
      <c r="O37" s="88" t="s">
        <v>81</v>
      </c>
      <c r="P37" s="88" t="s">
        <v>82</v>
      </c>
      <c r="Q37" s="423" t="s">
        <v>83</v>
      </c>
      <c r="R37" s="424"/>
      <c r="S37" s="424"/>
      <c r="T37" s="424"/>
      <c r="U37" s="424"/>
      <c r="V37" s="424"/>
      <c r="W37" s="424"/>
      <c r="X37" s="424"/>
      <c r="Y37" s="424"/>
      <c r="Z37" s="424"/>
      <c r="AA37" s="424"/>
      <c r="AB37" s="424"/>
      <c r="AC37" s="424"/>
      <c r="AD37" s="425"/>
      <c r="AG37" s="220"/>
      <c r="AH37" s="220"/>
      <c r="AI37" s="220"/>
      <c r="AJ37" s="220"/>
      <c r="AK37" s="220"/>
      <c r="AL37" s="220"/>
      <c r="AM37" s="220"/>
      <c r="AN37" s="220"/>
      <c r="AO37" s="220"/>
    </row>
    <row r="38" spans="1:41" ht="54.75" customHeight="1" x14ac:dyDescent="0.25">
      <c r="A38" s="396" t="s">
        <v>119</v>
      </c>
      <c r="B38" s="398">
        <v>0.02</v>
      </c>
      <c r="C38" s="90" t="s">
        <v>63</v>
      </c>
      <c r="D38" s="95">
        <v>0</v>
      </c>
      <c r="E38" s="95">
        <v>0.05</v>
      </c>
      <c r="F38" s="95">
        <v>0.05</v>
      </c>
      <c r="G38" s="95">
        <v>0.1</v>
      </c>
      <c r="H38" s="95">
        <v>0.1</v>
      </c>
      <c r="I38" s="95">
        <v>0.15</v>
      </c>
      <c r="J38" s="95">
        <v>0.15</v>
      </c>
      <c r="K38" s="95">
        <v>0.1</v>
      </c>
      <c r="L38" s="95">
        <v>0.1</v>
      </c>
      <c r="M38" s="95">
        <v>0.1</v>
      </c>
      <c r="N38" s="95">
        <v>0.1</v>
      </c>
      <c r="O38" s="95">
        <v>0</v>
      </c>
      <c r="P38" s="96">
        <f t="shared" ref="P38:P45" si="3">SUM(D38:O38)</f>
        <v>1</v>
      </c>
      <c r="Q38" s="624" t="s">
        <v>593</v>
      </c>
      <c r="R38" s="625"/>
      <c r="S38" s="625"/>
      <c r="T38" s="625"/>
      <c r="U38" s="625"/>
      <c r="V38" s="625"/>
      <c r="W38" s="625"/>
      <c r="X38" s="625"/>
      <c r="Y38" s="625"/>
      <c r="Z38" s="625"/>
      <c r="AA38" s="625"/>
      <c r="AB38" s="625"/>
      <c r="AC38" s="625"/>
      <c r="AD38" s="626"/>
      <c r="AE38" s="97"/>
      <c r="AG38" s="221"/>
      <c r="AH38" s="221"/>
      <c r="AI38" s="221"/>
      <c r="AJ38" s="221"/>
      <c r="AK38" s="221"/>
      <c r="AL38" s="221"/>
      <c r="AM38" s="221"/>
      <c r="AN38" s="221"/>
      <c r="AO38" s="221"/>
    </row>
    <row r="39" spans="1:41" ht="54.75" customHeight="1" x14ac:dyDescent="0.25">
      <c r="A39" s="380"/>
      <c r="B39" s="398"/>
      <c r="C39" s="99" t="s">
        <v>64</v>
      </c>
      <c r="D39" s="100">
        <v>0.02</v>
      </c>
      <c r="E39" s="100">
        <v>0.05</v>
      </c>
      <c r="F39" s="100">
        <v>0.05</v>
      </c>
      <c r="G39" s="100">
        <v>0.1</v>
      </c>
      <c r="H39" s="100">
        <v>0.1</v>
      </c>
      <c r="I39" s="100">
        <v>0.15</v>
      </c>
      <c r="J39" s="100">
        <v>0.15</v>
      </c>
      <c r="K39" s="100">
        <v>0.1</v>
      </c>
      <c r="L39" s="100">
        <v>0.1</v>
      </c>
      <c r="M39" s="100">
        <v>0.1</v>
      </c>
      <c r="N39" s="100">
        <v>0.05</v>
      </c>
      <c r="O39" s="100">
        <v>0.03</v>
      </c>
      <c r="P39" s="101">
        <f t="shared" si="3"/>
        <v>1</v>
      </c>
      <c r="Q39" s="627"/>
      <c r="R39" s="628"/>
      <c r="S39" s="628"/>
      <c r="T39" s="628"/>
      <c r="U39" s="628"/>
      <c r="V39" s="628"/>
      <c r="W39" s="628"/>
      <c r="X39" s="628"/>
      <c r="Y39" s="628"/>
      <c r="Z39" s="628"/>
      <c r="AA39" s="628"/>
      <c r="AB39" s="628"/>
      <c r="AC39" s="628"/>
      <c r="AD39" s="629"/>
      <c r="AE39" s="97"/>
    </row>
    <row r="40" spans="1:41" ht="47.25" customHeight="1" x14ac:dyDescent="0.25">
      <c r="A40" s="380" t="s">
        <v>120</v>
      </c>
      <c r="B40" s="398">
        <v>0.03</v>
      </c>
      <c r="C40" s="102" t="s">
        <v>63</v>
      </c>
      <c r="D40" s="103">
        <v>0</v>
      </c>
      <c r="E40" s="103">
        <v>0</v>
      </c>
      <c r="F40" s="103">
        <v>0.05</v>
      </c>
      <c r="G40" s="103">
        <v>0.1</v>
      </c>
      <c r="H40" s="103">
        <v>0.1</v>
      </c>
      <c r="I40" s="103">
        <v>0.15</v>
      </c>
      <c r="J40" s="103">
        <v>0.1</v>
      </c>
      <c r="K40" s="103">
        <v>0.1</v>
      </c>
      <c r="L40" s="103">
        <v>0.1</v>
      </c>
      <c r="M40" s="103">
        <v>0.1</v>
      </c>
      <c r="N40" s="103">
        <v>0.1</v>
      </c>
      <c r="O40" s="103">
        <v>0.1</v>
      </c>
      <c r="P40" s="101">
        <f t="shared" si="3"/>
        <v>0.99999999999999989</v>
      </c>
      <c r="Q40" s="547" t="s">
        <v>594</v>
      </c>
      <c r="R40" s="625"/>
      <c r="S40" s="625"/>
      <c r="T40" s="625"/>
      <c r="U40" s="625"/>
      <c r="V40" s="625"/>
      <c r="W40" s="625"/>
      <c r="X40" s="625"/>
      <c r="Y40" s="625"/>
      <c r="Z40" s="625"/>
      <c r="AA40" s="625"/>
      <c r="AB40" s="625"/>
      <c r="AC40" s="625"/>
      <c r="AD40" s="626"/>
      <c r="AE40" s="97"/>
    </row>
    <row r="41" spans="1:41" ht="47.25" customHeight="1" x14ac:dyDescent="0.25">
      <c r="A41" s="380"/>
      <c r="B41" s="398"/>
      <c r="C41" s="99" t="s">
        <v>64</v>
      </c>
      <c r="D41" s="100">
        <v>0</v>
      </c>
      <c r="E41" s="100">
        <v>0</v>
      </c>
      <c r="F41" s="100">
        <v>0.05</v>
      </c>
      <c r="G41" s="100">
        <v>0.1</v>
      </c>
      <c r="H41" s="100">
        <v>0.1</v>
      </c>
      <c r="I41" s="100">
        <v>0.15</v>
      </c>
      <c r="J41" s="100">
        <v>0.1</v>
      </c>
      <c r="K41" s="100">
        <v>0.1</v>
      </c>
      <c r="L41" s="104">
        <v>0.1</v>
      </c>
      <c r="M41" s="104">
        <v>0.1</v>
      </c>
      <c r="N41" s="104">
        <v>0.1</v>
      </c>
      <c r="O41" s="104">
        <v>0.1</v>
      </c>
      <c r="P41" s="101">
        <f t="shared" si="3"/>
        <v>0.99999999999999989</v>
      </c>
      <c r="Q41" s="627"/>
      <c r="R41" s="628"/>
      <c r="S41" s="628"/>
      <c r="T41" s="628"/>
      <c r="U41" s="628"/>
      <c r="V41" s="628"/>
      <c r="W41" s="628"/>
      <c r="X41" s="628"/>
      <c r="Y41" s="628"/>
      <c r="Z41" s="628"/>
      <c r="AA41" s="628"/>
      <c r="AB41" s="628"/>
      <c r="AC41" s="628"/>
      <c r="AD41" s="629"/>
      <c r="AE41" s="97"/>
    </row>
    <row r="42" spans="1:41" ht="57.75" customHeight="1" x14ac:dyDescent="0.25">
      <c r="A42" s="635" t="s">
        <v>121</v>
      </c>
      <c r="B42" s="398">
        <v>0.02</v>
      </c>
      <c r="C42" s="102" t="s">
        <v>63</v>
      </c>
      <c r="D42" s="103">
        <v>0</v>
      </c>
      <c r="E42" s="103">
        <v>0.1</v>
      </c>
      <c r="F42" s="103">
        <v>0.1</v>
      </c>
      <c r="G42" s="103">
        <v>0.1</v>
      </c>
      <c r="H42" s="103">
        <v>0.1</v>
      </c>
      <c r="I42" s="103">
        <v>0.1</v>
      </c>
      <c r="J42" s="103">
        <v>0.1</v>
      </c>
      <c r="K42" s="103">
        <v>0.1</v>
      </c>
      <c r="L42" s="103">
        <v>0.1</v>
      </c>
      <c r="M42" s="103">
        <v>0.1</v>
      </c>
      <c r="N42" s="103">
        <v>0.1</v>
      </c>
      <c r="O42" s="103">
        <v>0</v>
      </c>
      <c r="P42" s="101">
        <f t="shared" si="3"/>
        <v>0.99999999999999989</v>
      </c>
      <c r="Q42" s="547" t="s">
        <v>595</v>
      </c>
      <c r="R42" s="625"/>
      <c r="S42" s="625"/>
      <c r="T42" s="625"/>
      <c r="U42" s="625"/>
      <c r="V42" s="625"/>
      <c r="W42" s="625"/>
      <c r="X42" s="625"/>
      <c r="Y42" s="625"/>
      <c r="Z42" s="625"/>
      <c r="AA42" s="625"/>
      <c r="AB42" s="625"/>
      <c r="AC42" s="625"/>
      <c r="AD42" s="626"/>
      <c r="AE42" s="97"/>
    </row>
    <row r="43" spans="1:41" ht="57.75" customHeight="1" x14ac:dyDescent="0.25">
      <c r="A43" s="636"/>
      <c r="B43" s="398"/>
      <c r="C43" s="99" t="s">
        <v>64</v>
      </c>
      <c r="D43" s="100">
        <v>0.02</v>
      </c>
      <c r="E43" s="100">
        <v>0.1</v>
      </c>
      <c r="F43" s="100">
        <v>0.1</v>
      </c>
      <c r="G43" s="100">
        <v>0.1</v>
      </c>
      <c r="H43" s="100">
        <v>0.1</v>
      </c>
      <c r="I43" s="100">
        <v>0.1</v>
      </c>
      <c r="J43" s="100">
        <v>0.1</v>
      </c>
      <c r="K43" s="100">
        <v>0.1</v>
      </c>
      <c r="L43" s="104">
        <v>0.1</v>
      </c>
      <c r="M43" s="104">
        <v>0.1</v>
      </c>
      <c r="N43" s="104">
        <v>0.06</v>
      </c>
      <c r="O43" s="104">
        <v>0.02</v>
      </c>
      <c r="P43" s="101">
        <f t="shared" si="3"/>
        <v>1</v>
      </c>
      <c r="Q43" s="627"/>
      <c r="R43" s="628"/>
      <c r="S43" s="628"/>
      <c r="T43" s="628"/>
      <c r="U43" s="628"/>
      <c r="V43" s="628"/>
      <c r="W43" s="628"/>
      <c r="X43" s="628"/>
      <c r="Y43" s="628"/>
      <c r="Z43" s="628"/>
      <c r="AA43" s="628"/>
      <c r="AB43" s="628"/>
      <c r="AC43" s="628"/>
      <c r="AD43" s="629"/>
      <c r="AE43" s="97"/>
    </row>
    <row r="44" spans="1:41" ht="58.5" customHeight="1" x14ac:dyDescent="0.25">
      <c r="A44" s="555" t="s">
        <v>122</v>
      </c>
      <c r="B44" s="398">
        <v>0.02</v>
      </c>
      <c r="C44" s="102" t="s">
        <v>63</v>
      </c>
      <c r="D44" s="103">
        <v>0</v>
      </c>
      <c r="E44" s="103">
        <v>0.05</v>
      </c>
      <c r="F44" s="103">
        <v>0.1</v>
      </c>
      <c r="G44" s="103">
        <v>0.1</v>
      </c>
      <c r="H44" s="103">
        <v>0.1</v>
      </c>
      <c r="I44" s="103">
        <v>0.1</v>
      </c>
      <c r="J44" s="103">
        <v>0.1</v>
      </c>
      <c r="K44" s="103">
        <v>0.1</v>
      </c>
      <c r="L44" s="103">
        <v>0.1</v>
      </c>
      <c r="M44" s="103">
        <v>0.1</v>
      </c>
      <c r="N44" s="103">
        <v>0.1</v>
      </c>
      <c r="O44" s="103">
        <v>0.05</v>
      </c>
      <c r="P44" s="101">
        <f t="shared" si="3"/>
        <v>0.99999999999999989</v>
      </c>
      <c r="Q44" s="547" t="s">
        <v>596</v>
      </c>
      <c r="R44" s="625"/>
      <c r="S44" s="625"/>
      <c r="T44" s="625"/>
      <c r="U44" s="625"/>
      <c r="V44" s="625"/>
      <c r="W44" s="625"/>
      <c r="X44" s="625"/>
      <c r="Y44" s="625"/>
      <c r="Z44" s="625"/>
      <c r="AA44" s="625"/>
      <c r="AB44" s="625"/>
      <c r="AC44" s="625"/>
      <c r="AD44" s="626"/>
      <c r="AE44" s="97"/>
    </row>
    <row r="45" spans="1:41" ht="92.25" customHeight="1" thickBot="1" x14ac:dyDescent="0.3">
      <c r="A45" s="630"/>
      <c r="B45" s="631"/>
      <c r="C45" s="91" t="s">
        <v>64</v>
      </c>
      <c r="D45" s="105">
        <v>0.02</v>
      </c>
      <c r="E45" s="105">
        <v>0.05</v>
      </c>
      <c r="F45" s="105">
        <v>0.1</v>
      </c>
      <c r="G45" s="105">
        <v>0.1</v>
      </c>
      <c r="H45" s="105">
        <v>0.1</v>
      </c>
      <c r="I45" s="105">
        <v>0.1</v>
      </c>
      <c r="J45" s="105">
        <v>0.1</v>
      </c>
      <c r="K45" s="105">
        <v>0.1</v>
      </c>
      <c r="L45" s="106">
        <v>0.1</v>
      </c>
      <c r="M45" s="106">
        <v>0.1</v>
      </c>
      <c r="N45" s="106">
        <v>0.1</v>
      </c>
      <c r="O45" s="106">
        <v>0.03</v>
      </c>
      <c r="P45" s="107">
        <f t="shared" si="3"/>
        <v>0.99999999999999989</v>
      </c>
      <c r="Q45" s="632"/>
      <c r="R45" s="633"/>
      <c r="S45" s="633"/>
      <c r="T45" s="633"/>
      <c r="U45" s="633"/>
      <c r="V45" s="633"/>
      <c r="W45" s="633"/>
      <c r="X45" s="633"/>
      <c r="Y45" s="633"/>
      <c r="Z45" s="633"/>
      <c r="AA45" s="633"/>
      <c r="AB45" s="633"/>
      <c r="AC45" s="633"/>
      <c r="AD45" s="634"/>
      <c r="AE45" s="97"/>
    </row>
    <row r="55" spans="1:51" s="250" customFormat="1" ht="21.75" customHeight="1" x14ac:dyDescent="0.25">
      <c r="A55" s="382" t="s">
        <v>92</v>
      </c>
      <c r="B55" s="382" t="s">
        <v>66</v>
      </c>
      <c r="C55" s="370" t="s">
        <v>67</v>
      </c>
      <c r="D55" s="371"/>
      <c r="E55" s="371"/>
      <c r="F55" s="371"/>
      <c r="G55" s="371"/>
      <c r="H55" s="371"/>
      <c r="I55" s="371"/>
      <c r="J55" s="371"/>
      <c r="K55" s="371"/>
      <c r="L55" s="371"/>
      <c r="M55" s="371"/>
      <c r="N55" s="371"/>
      <c r="O55" s="371"/>
      <c r="P55" s="372"/>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row>
    <row r="56" spans="1:51" s="250" customFormat="1" ht="21.75" customHeight="1" x14ac:dyDescent="0.25">
      <c r="A56" s="383"/>
      <c r="B56" s="383"/>
      <c r="C56" s="190" t="s">
        <v>69</v>
      </c>
      <c r="D56" s="190" t="s">
        <v>70</v>
      </c>
      <c r="E56" s="190" t="s">
        <v>71</v>
      </c>
      <c r="F56" s="190" t="s">
        <v>72</v>
      </c>
      <c r="G56" s="190" t="s">
        <v>73</v>
      </c>
      <c r="H56" s="190" t="s">
        <v>74</v>
      </c>
      <c r="I56" s="190" t="s">
        <v>75</v>
      </c>
      <c r="J56" s="190" t="s">
        <v>76</v>
      </c>
      <c r="K56" s="190" t="s">
        <v>77</v>
      </c>
      <c r="L56" s="190" t="s">
        <v>78</v>
      </c>
      <c r="M56" s="190" t="s">
        <v>79</v>
      </c>
      <c r="N56" s="190" t="s">
        <v>80</v>
      </c>
      <c r="O56" s="190" t="s">
        <v>81</v>
      </c>
      <c r="P56" s="190" t="s">
        <v>82</v>
      </c>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row>
    <row r="57" spans="1:51" s="250" customFormat="1" ht="12.75" customHeight="1" x14ac:dyDescent="0.25">
      <c r="A57" s="373" t="str">
        <f>A38</f>
        <v xml:space="preserve">22. Generar alianzas interinstitucionales, convenios y articulaciones con entidades nacionales y distritales, públicas y privadas para la implementación de estrategias educativas flexibles con enfoque diferencial. </v>
      </c>
      <c r="B57" s="375">
        <f>B38</f>
        <v>0.02</v>
      </c>
      <c r="C57" s="191" t="s">
        <v>63</v>
      </c>
      <c r="D57" s="222">
        <f>D38*$B$38/$P$38</f>
        <v>0</v>
      </c>
      <c r="E57" s="222">
        <f t="shared" ref="E57:O58" si="4">E38*$B$38/$P$38</f>
        <v>1E-3</v>
      </c>
      <c r="F57" s="222">
        <f t="shared" si="4"/>
        <v>1E-3</v>
      </c>
      <c r="G57" s="222">
        <f t="shared" si="4"/>
        <v>2E-3</v>
      </c>
      <c r="H57" s="222">
        <f t="shared" si="4"/>
        <v>2E-3</v>
      </c>
      <c r="I57" s="222">
        <f t="shared" si="4"/>
        <v>3.0000000000000001E-3</v>
      </c>
      <c r="J57" s="222">
        <f t="shared" si="4"/>
        <v>3.0000000000000001E-3</v>
      </c>
      <c r="K57" s="222">
        <f t="shared" si="4"/>
        <v>2E-3</v>
      </c>
      <c r="L57" s="222">
        <f t="shared" si="4"/>
        <v>2E-3</v>
      </c>
      <c r="M57" s="222">
        <f t="shared" si="4"/>
        <v>2E-3</v>
      </c>
      <c r="N57" s="222">
        <f t="shared" si="4"/>
        <v>2E-3</v>
      </c>
      <c r="O57" s="222">
        <f t="shared" si="4"/>
        <v>0</v>
      </c>
      <c r="P57" s="223">
        <f t="shared" ref="P57:P60" si="5">SUM(D57:O57)</f>
        <v>2.0000000000000004E-2</v>
      </c>
      <c r="Q57" s="108"/>
      <c r="R57" s="224"/>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05"/>
      <c r="AR57" s="205"/>
      <c r="AS57" s="205"/>
      <c r="AT57" s="205"/>
      <c r="AU57" s="205"/>
      <c r="AV57" s="205"/>
      <c r="AW57" s="205"/>
      <c r="AX57" s="205"/>
      <c r="AY57" s="205"/>
    </row>
    <row r="58" spans="1:51" s="250" customFormat="1" ht="12.75" customHeight="1" x14ac:dyDescent="0.25">
      <c r="A58" s="374"/>
      <c r="B58" s="376"/>
      <c r="C58" s="196" t="s">
        <v>64</v>
      </c>
      <c r="D58" s="226">
        <f>D39*$B$38/$P$38</f>
        <v>4.0000000000000002E-4</v>
      </c>
      <c r="E58" s="226">
        <f t="shared" si="4"/>
        <v>1E-3</v>
      </c>
      <c r="F58" s="226">
        <f t="shared" si="4"/>
        <v>1E-3</v>
      </c>
      <c r="G58" s="226">
        <f t="shared" si="4"/>
        <v>2E-3</v>
      </c>
      <c r="H58" s="226">
        <f t="shared" si="4"/>
        <v>2E-3</v>
      </c>
      <c r="I58" s="226">
        <f t="shared" si="4"/>
        <v>3.0000000000000001E-3</v>
      </c>
      <c r="J58" s="226">
        <f t="shared" si="4"/>
        <v>3.0000000000000001E-3</v>
      </c>
      <c r="K58" s="226">
        <f t="shared" si="4"/>
        <v>2E-3</v>
      </c>
      <c r="L58" s="226">
        <f t="shared" si="4"/>
        <v>2E-3</v>
      </c>
      <c r="M58" s="226">
        <f t="shared" si="4"/>
        <v>2E-3</v>
      </c>
      <c r="N58" s="226">
        <f t="shared" si="4"/>
        <v>1E-3</v>
      </c>
      <c r="O58" s="226">
        <f t="shared" si="4"/>
        <v>5.9999999999999995E-4</v>
      </c>
      <c r="P58" s="227">
        <f t="shared" si="5"/>
        <v>0.02</v>
      </c>
      <c r="Q58" s="228"/>
      <c r="R58" s="224"/>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05"/>
      <c r="AR58" s="205"/>
      <c r="AS58" s="205"/>
      <c r="AT58" s="205"/>
      <c r="AU58" s="205"/>
      <c r="AV58" s="205"/>
      <c r="AW58" s="205"/>
      <c r="AX58" s="205"/>
      <c r="AY58" s="205"/>
    </row>
    <row r="59" spans="1:51" s="250" customFormat="1" ht="12.75" customHeight="1" x14ac:dyDescent="0.25">
      <c r="A59" s="373" t="str">
        <f>A40</f>
        <v xml:space="preserve">23. Promover los apoyos de educación superior con las pruebas Saber (ICFES), Ferias Universitarias y Ruta de la educación superior.  </v>
      </c>
      <c r="B59" s="378">
        <f>B40</f>
        <v>0.03</v>
      </c>
      <c r="C59" s="191" t="s">
        <v>63</v>
      </c>
      <c r="D59" s="222">
        <f>D40*$B$40/$P$40</f>
        <v>0</v>
      </c>
      <c r="E59" s="222">
        <f t="shared" ref="E59:O60" si="6">E40*$B$40/$P$40</f>
        <v>0</v>
      </c>
      <c r="F59" s="222">
        <f t="shared" si="6"/>
        <v>1.5000000000000002E-3</v>
      </c>
      <c r="G59" s="222">
        <f t="shared" si="6"/>
        <v>3.0000000000000005E-3</v>
      </c>
      <c r="H59" s="222">
        <f t="shared" si="6"/>
        <v>3.0000000000000005E-3</v>
      </c>
      <c r="I59" s="222">
        <f t="shared" si="6"/>
        <v>4.5000000000000005E-3</v>
      </c>
      <c r="J59" s="222">
        <f t="shared" si="6"/>
        <v>3.0000000000000005E-3</v>
      </c>
      <c r="K59" s="222">
        <f t="shared" si="6"/>
        <v>3.0000000000000005E-3</v>
      </c>
      <c r="L59" s="222">
        <f t="shared" si="6"/>
        <v>3.0000000000000005E-3</v>
      </c>
      <c r="M59" s="222">
        <f t="shared" si="6"/>
        <v>3.0000000000000005E-3</v>
      </c>
      <c r="N59" s="222">
        <f t="shared" si="6"/>
        <v>3.0000000000000005E-3</v>
      </c>
      <c r="O59" s="222">
        <f t="shared" si="6"/>
        <v>3.0000000000000005E-3</v>
      </c>
      <c r="P59" s="223">
        <f t="shared" si="5"/>
        <v>0.03</v>
      </c>
      <c r="Q59" s="108"/>
      <c r="R59" s="224"/>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5"/>
      <c r="AP59" s="225"/>
      <c r="AQ59" s="205"/>
      <c r="AR59" s="205"/>
      <c r="AS59" s="205"/>
      <c r="AT59" s="205"/>
      <c r="AU59" s="205"/>
      <c r="AV59" s="205"/>
      <c r="AW59" s="205"/>
      <c r="AX59" s="205"/>
      <c r="AY59" s="205"/>
    </row>
    <row r="60" spans="1:51" s="250" customFormat="1" ht="12.75" customHeight="1" x14ac:dyDescent="0.25">
      <c r="A60" s="377"/>
      <c r="B60" s="379"/>
      <c r="C60" s="196" t="s">
        <v>64</v>
      </c>
      <c r="D60" s="226">
        <f>D41*$B$40/$P$40</f>
        <v>0</v>
      </c>
      <c r="E60" s="226">
        <f t="shared" si="6"/>
        <v>0</v>
      </c>
      <c r="F60" s="226">
        <f t="shared" si="6"/>
        <v>1.5000000000000002E-3</v>
      </c>
      <c r="G60" s="226">
        <f t="shared" si="6"/>
        <v>3.0000000000000005E-3</v>
      </c>
      <c r="H60" s="226">
        <f t="shared" si="6"/>
        <v>3.0000000000000005E-3</v>
      </c>
      <c r="I60" s="226">
        <f t="shared" si="6"/>
        <v>4.5000000000000005E-3</v>
      </c>
      <c r="J60" s="226">
        <f t="shared" si="6"/>
        <v>3.0000000000000005E-3</v>
      </c>
      <c r="K60" s="226">
        <f t="shared" si="6"/>
        <v>3.0000000000000005E-3</v>
      </c>
      <c r="L60" s="226">
        <f t="shared" si="6"/>
        <v>3.0000000000000005E-3</v>
      </c>
      <c r="M60" s="226">
        <f t="shared" si="6"/>
        <v>3.0000000000000005E-3</v>
      </c>
      <c r="N60" s="226">
        <f t="shared" si="6"/>
        <v>3.0000000000000005E-3</v>
      </c>
      <c r="O60" s="226">
        <f t="shared" si="6"/>
        <v>3.0000000000000005E-3</v>
      </c>
      <c r="P60" s="227">
        <f t="shared" si="5"/>
        <v>0.03</v>
      </c>
      <c r="Q60" s="228"/>
      <c r="R60" s="224"/>
      <c r="S60" s="225"/>
      <c r="T60" s="225"/>
      <c r="U60" s="225"/>
      <c r="V60" s="225"/>
      <c r="W60" s="225"/>
      <c r="X60" s="225"/>
      <c r="Y60" s="225"/>
      <c r="Z60" s="225"/>
      <c r="AA60" s="225"/>
      <c r="AB60" s="225"/>
      <c r="AC60" s="225"/>
      <c r="AD60" s="225"/>
      <c r="AE60" s="225"/>
      <c r="AF60" s="225"/>
      <c r="AG60" s="225"/>
      <c r="AH60" s="225"/>
      <c r="AI60" s="225"/>
      <c r="AJ60" s="225"/>
      <c r="AK60" s="225"/>
      <c r="AL60" s="225"/>
      <c r="AM60" s="225"/>
      <c r="AN60" s="225"/>
      <c r="AO60" s="225"/>
      <c r="AP60" s="225"/>
      <c r="AQ60" s="205"/>
      <c r="AR60" s="205"/>
      <c r="AS60" s="205"/>
      <c r="AT60" s="205"/>
      <c r="AU60" s="205"/>
      <c r="AV60" s="205"/>
      <c r="AW60" s="205"/>
      <c r="AX60" s="205"/>
      <c r="AY60" s="205"/>
    </row>
    <row r="61" spans="1:51" s="250" customFormat="1" ht="12.75" customHeight="1" x14ac:dyDescent="0.25">
      <c r="A61" s="373" t="str">
        <f>A42</f>
        <v xml:space="preserve">24. Acompañar a la SDMujer y promoción y vinculación de mujeres en toda su diversidad a la formación complementaria (SENA, Google y Escuela Indigena). </v>
      </c>
      <c r="B61" s="378">
        <f>B42</f>
        <v>0.02</v>
      </c>
      <c r="C61" s="191" t="s">
        <v>63</v>
      </c>
      <c r="D61" s="222">
        <f>D42*$B$42/$P$42</f>
        <v>0</v>
      </c>
      <c r="E61" s="222">
        <f t="shared" ref="E61:O62" si="7">E42*$B$42/$P$42</f>
        <v>2.0000000000000005E-3</v>
      </c>
      <c r="F61" s="222">
        <f t="shared" si="7"/>
        <v>2.0000000000000005E-3</v>
      </c>
      <c r="G61" s="222">
        <f t="shared" si="7"/>
        <v>2.0000000000000005E-3</v>
      </c>
      <c r="H61" s="222">
        <f t="shared" si="7"/>
        <v>2.0000000000000005E-3</v>
      </c>
      <c r="I61" s="222">
        <f t="shared" si="7"/>
        <v>2.0000000000000005E-3</v>
      </c>
      <c r="J61" s="222">
        <f t="shared" si="7"/>
        <v>2.0000000000000005E-3</v>
      </c>
      <c r="K61" s="222">
        <f t="shared" si="7"/>
        <v>2.0000000000000005E-3</v>
      </c>
      <c r="L61" s="222">
        <f t="shared" si="7"/>
        <v>2.0000000000000005E-3</v>
      </c>
      <c r="M61" s="222">
        <f t="shared" si="7"/>
        <v>2.0000000000000005E-3</v>
      </c>
      <c r="N61" s="222">
        <f t="shared" si="7"/>
        <v>2.0000000000000005E-3</v>
      </c>
      <c r="O61" s="222">
        <f t="shared" si="7"/>
        <v>0</v>
      </c>
      <c r="P61" s="223">
        <f t="shared" ref="P61:P64" si="8">SUM(D61:O61)</f>
        <v>2.0000000000000007E-2</v>
      </c>
      <c r="Q61" s="108"/>
      <c r="R61" s="224"/>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05"/>
      <c r="AR61" s="205"/>
      <c r="AS61" s="205"/>
      <c r="AT61" s="205"/>
      <c r="AU61" s="205"/>
      <c r="AV61" s="205"/>
      <c r="AW61" s="205"/>
      <c r="AX61" s="205"/>
      <c r="AY61" s="205"/>
    </row>
    <row r="62" spans="1:51" s="250" customFormat="1" ht="12.75" customHeight="1" x14ac:dyDescent="0.25">
      <c r="A62" s="377"/>
      <c r="B62" s="379"/>
      <c r="C62" s="196" t="s">
        <v>64</v>
      </c>
      <c r="D62" s="226">
        <f>D43*$B$42/$P$42</f>
        <v>4.0000000000000007E-4</v>
      </c>
      <c r="E62" s="226">
        <f t="shared" si="7"/>
        <v>2.0000000000000005E-3</v>
      </c>
      <c r="F62" s="226">
        <f t="shared" si="7"/>
        <v>2.0000000000000005E-3</v>
      </c>
      <c r="G62" s="226">
        <f t="shared" si="7"/>
        <v>2.0000000000000005E-3</v>
      </c>
      <c r="H62" s="226">
        <f t="shared" si="7"/>
        <v>2.0000000000000005E-3</v>
      </c>
      <c r="I62" s="226">
        <f t="shared" si="7"/>
        <v>2.0000000000000005E-3</v>
      </c>
      <c r="J62" s="226">
        <f t="shared" si="7"/>
        <v>2.0000000000000005E-3</v>
      </c>
      <c r="K62" s="226">
        <f t="shared" si="7"/>
        <v>2.0000000000000005E-3</v>
      </c>
      <c r="L62" s="226">
        <f t="shared" si="7"/>
        <v>2.0000000000000005E-3</v>
      </c>
      <c r="M62" s="226">
        <f t="shared" si="7"/>
        <v>2.0000000000000005E-3</v>
      </c>
      <c r="N62" s="226">
        <f t="shared" si="7"/>
        <v>1.2000000000000001E-3</v>
      </c>
      <c r="O62" s="226">
        <f t="shared" si="7"/>
        <v>4.0000000000000007E-4</v>
      </c>
      <c r="P62" s="227">
        <f t="shared" si="8"/>
        <v>2.0000000000000004E-2</v>
      </c>
      <c r="Q62" s="228"/>
      <c r="R62" s="224"/>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05"/>
      <c r="AR62" s="205"/>
      <c r="AS62" s="205"/>
      <c r="AT62" s="205"/>
      <c r="AU62" s="205"/>
      <c r="AV62" s="205"/>
      <c r="AW62" s="205"/>
      <c r="AX62" s="205"/>
      <c r="AY62" s="205"/>
    </row>
    <row r="63" spans="1:51" s="250" customFormat="1" ht="12.75" customHeight="1" x14ac:dyDescent="0.25">
      <c r="A63" s="373" t="str">
        <f>A44</f>
        <v xml:space="preserve">25. Realizar el seguimiento y acompañamiento a las mujeres registradas en las estrategias de Educación Flexible inscritas a través de la Dirección de Enfoque Diferencial. </v>
      </c>
      <c r="B63" s="378">
        <f>B44</f>
        <v>0.02</v>
      </c>
      <c r="C63" s="191" t="s">
        <v>63</v>
      </c>
      <c r="D63" s="222">
        <f>D44*$B$44/$P$44</f>
        <v>0</v>
      </c>
      <c r="E63" s="222">
        <f t="shared" ref="E63:O64" si="9">E44*$B$44/$P$44</f>
        <v>1.0000000000000002E-3</v>
      </c>
      <c r="F63" s="222">
        <f t="shared" si="9"/>
        <v>2.0000000000000005E-3</v>
      </c>
      <c r="G63" s="222">
        <f t="shared" si="9"/>
        <v>2.0000000000000005E-3</v>
      </c>
      <c r="H63" s="222">
        <f t="shared" si="9"/>
        <v>2.0000000000000005E-3</v>
      </c>
      <c r="I63" s="222">
        <f t="shared" si="9"/>
        <v>2.0000000000000005E-3</v>
      </c>
      <c r="J63" s="222">
        <f t="shared" si="9"/>
        <v>2.0000000000000005E-3</v>
      </c>
      <c r="K63" s="222">
        <f t="shared" si="9"/>
        <v>2.0000000000000005E-3</v>
      </c>
      <c r="L63" s="222">
        <f t="shared" si="9"/>
        <v>2.0000000000000005E-3</v>
      </c>
      <c r="M63" s="222">
        <f t="shared" si="9"/>
        <v>2.0000000000000005E-3</v>
      </c>
      <c r="N63" s="222">
        <f t="shared" si="9"/>
        <v>2.0000000000000005E-3</v>
      </c>
      <c r="O63" s="222">
        <f t="shared" si="9"/>
        <v>1.0000000000000002E-3</v>
      </c>
      <c r="P63" s="223">
        <f t="shared" si="8"/>
        <v>2.0000000000000004E-2</v>
      </c>
      <c r="Q63" s="108"/>
      <c r="R63" s="224"/>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05"/>
      <c r="AR63" s="205"/>
      <c r="AS63" s="205"/>
      <c r="AT63" s="205"/>
      <c r="AU63" s="205"/>
      <c r="AV63" s="205"/>
      <c r="AW63" s="205"/>
      <c r="AX63" s="205"/>
      <c r="AY63" s="205"/>
    </row>
    <row r="64" spans="1:51" s="250" customFormat="1" ht="12.75" customHeight="1" x14ac:dyDescent="0.25">
      <c r="A64" s="377"/>
      <c r="B64" s="379"/>
      <c r="C64" s="196" t="s">
        <v>64</v>
      </c>
      <c r="D64" s="226">
        <f>D45*$B$44/$P$44</f>
        <v>4.0000000000000007E-4</v>
      </c>
      <c r="E64" s="226">
        <f t="shared" si="9"/>
        <v>1.0000000000000002E-3</v>
      </c>
      <c r="F64" s="226">
        <f t="shared" si="9"/>
        <v>2.0000000000000005E-3</v>
      </c>
      <c r="G64" s="226">
        <f t="shared" si="9"/>
        <v>2.0000000000000005E-3</v>
      </c>
      <c r="H64" s="226">
        <f t="shared" si="9"/>
        <v>2.0000000000000005E-3</v>
      </c>
      <c r="I64" s="226">
        <f t="shared" si="9"/>
        <v>2.0000000000000005E-3</v>
      </c>
      <c r="J64" s="226">
        <f t="shared" si="9"/>
        <v>2.0000000000000005E-3</v>
      </c>
      <c r="K64" s="226">
        <f t="shared" si="9"/>
        <v>2.0000000000000005E-3</v>
      </c>
      <c r="L64" s="226">
        <f t="shared" si="9"/>
        <v>2.0000000000000005E-3</v>
      </c>
      <c r="M64" s="226">
        <f t="shared" si="9"/>
        <v>2.0000000000000005E-3</v>
      </c>
      <c r="N64" s="226">
        <f t="shared" si="9"/>
        <v>2.0000000000000005E-3</v>
      </c>
      <c r="O64" s="226">
        <f t="shared" si="9"/>
        <v>6.0000000000000006E-4</v>
      </c>
      <c r="P64" s="227">
        <f t="shared" si="8"/>
        <v>2.0000000000000004E-2</v>
      </c>
      <c r="Q64" s="228"/>
      <c r="R64" s="224"/>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05"/>
      <c r="AR64" s="205"/>
      <c r="AS64" s="205"/>
      <c r="AT64" s="205"/>
      <c r="AU64" s="205"/>
      <c r="AV64" s="205"/>
      <c r="AW64" s="205"/>
      <c r="AX64" s="205"/>
      <c r="AY64" s="205"/>
    </row>
    <row r="65" spans="1:51" s="250" customFormat="1" ht="15.75" customHeight="1" x14ac:dyDescent="0.25">
      <c r="A65" s="225"/>
      <c r="B65" s="225"/>
      <c r="C65" s="229"/>
      <c r="D65" s="230">
        <f>D58+D60+D62+D64</f>
        <v>1.2000000000000001E-3</v>
      </c>
      <c r="E65" s="230">
        <f t="shared" ref="E65:P65" si="10">E58+E60+E62+E64</f>
        <v>4.000000000000001E-3</v>
      </c>
      <c r="F65" s="230">
        <f t="shared" si="10"/>
        <v>6.5000000000000006E-3</v>
      </c>
      <c r="G65" s="230">
        <f t="shared" si="10"/>
        <v>9.0000000000000011E-3</v>
      </c>
      <c r="H65" s="230">
        <f t="shared" si="10"/>
        <v>9.0000000000000011E-3</v>
      </c>
      <c r="I65" s="230">
        <f t="shared" si="10"/>
        <v>1.1500000000000002E-2</v>
      </c>
      <c r="J65" s="230">
        <f t="shared" si="10"/>
        <v>0.01</v>
      </c>
      <c r="K65" s="230">
        <f t="shared" si="10"/>
        <v>9.0000000000000011E-3</v>
      </c>
      <c r="L65" s="230">
        <f t="shared" si="10"/>
        <v>9.0000000000000011E-3</v>
      </c>
      <c r="M65" s="230">
        <f t="shared" si="10"/>
        <v>9.0000000000000011E-3</v>
      </c>
      <c r="N65" s="230">
        <f t="shared" si="10"/>
        <v>7.1999999999999998E-3</v>
      </c>
      <c r="O65" s="230">
        <f t="shared" si="10"/>
        <v>4.5999999999999999E-3</v>
      </c>
      <c r="P65" s="230">
        <f t="shared" si="10"/>
        <v>9.0000000000000011E-2</v>
      </c>
      <c r="Q65" s="225"/>
      <c r="R65" s="224"/>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05"/>
      <c r="AR65" s="205"/>
      <c r="AS65" s="205"/>
      <c r="AT65" s="205"/>
      <c r="AU65" s="205"/>
      <c r="AV65" s="205"/>
      <c r="AW65" s="205"/>
      <c r="AX65" s="205"/>
      <c r="AY65" s="205"/>
    </row>
    <row r="66" spans="1:51" s="250" customFormat="1" ht="15.75" customHeight="1" x14ac:dyDescent="0.25">
      <c r="A66" s="205"/>
      <c r="B66" s="205"/>
      <c r="C66" s="209" t="s">
        <v>64</v>
      </c>
      <c r="D66" s="231">
        <f>D65*$W$17/$B$34</f>
        <v>4.0000000000000001E-3</v>
      </c>
      <c r="E66" s="231">
        <f t="shared" ref="E66:O66" si="11">E65*$W$17/$B$34</f>
        <v>1.3333333333333336E-2</v>
      </c>
      <c r="F66" s="231">
        <f t="shared" si="11"/>
        <v>2.1666666666666664E-2</v>
      </c>
      <c r="G66" s="231">
        <f t="shared" si="11"/>
        <v>0.03</v>
      </c>
      <c r="H66" s="231">
        <f t="shared" si="11"/>
        <v>0.03</v>
      </c>
      <c r="I66" s="231">
        <f t="shared" si="11"/>
        <v>3.833333333333333E-2</v>
      </c>
      <c r="J66" s="231">
        <f t="shared" si="11"/>
        <v>3.3333333333333333E-2</v>
      </c>
      <c r="K66" s="231">
        <f t="shared" si="11"/>
        <v>0.03</v>
      </c>
      <c r="L66" s="231">
        <f t="shared" si="11"/>
        <v>0.03</v>
      </c>
      <c r="M66" s="231">
        <f t="shared" si="11"/>
        <v>0.03</v>
      </c>
      <c r="N66" s="231">
        <f t="shared" si="11"/>
        <v>2.3999999999999997E-2</v>
      </c>
      <c r="O66" s="231">
        <f t="shared" si="11"/>
        <v>1.5333333333333331E-2</v>
      </c>
      <c r="P66" s="232">
        <f>SUM(D66:O66)</f>
        <v>0.3</v>
      </c>
      <c r="Q66" s="204"/>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5"/>
      <c r="AY66" s="205"/>
    </row>
    <row r="67" spans="1:51" s="250" customFormat="1" ht="13.5" customHeight="1" x14ac:dyDescent="0.25">
      <c r="A67" s="204"/>
      <c r="B67" s="204"/>
      <c r="C67" s="204"/>
      <c r="D67" s="204"/>
      <c r="E67" s="204"/>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5"/>
      <c r="AE67" s="205"/>
      <c r="AF67" s="205"/>
      <c r="AG67" s="205"/>
      <c r="AH67" s="205"/>
      <c r="AI67" s="205"/>
      <c r="AJ67" s="205"/>
      <c r="AK67" s="205"/>
      <c r="AL67" s="205"/>
      <c r="AM67" s="205"/>
      <c r="AN67" s="205"/>
      <c r="AO67" s="205"/>
      <c r="AP67" s="205"/>
      <c r="AQ67" s="205"/>
      <c r="AR67" s="205"/>
      <c r="AS67" s="205"/>
      <c r="AT67" s="205"/>
      <c r="AU67" s="205"/>
      <c r="AV67" s="205"/>
      <c r="AW67" s="205"/>
      <c r="AX67" s="205"/>
      <c r="AY67" s="205"/>
    </row>
    <row r="68" spans="1:51" x14ac:dyDescent="0.25">
      <c r="D68" s="230">
        <f>D57+D59+D61+D63</f>
        <v>0</v>
      </c>
      <c r="E68" s="230">
        <f t="shared" ref="E68:O68" si="12">E57+E59+E61+E63</f>
        <v>4.000000000000001E-3</v>
      </c>
      <c r="F68" s="230">
        <f t="shared" si="12"/>
        <v>6.5000000000000006E-3</v>
      </c>
      <c r="G68" s="230">
        <f t="shared" si="12"/>
        <v>9.0000000000000011E-3</v>
      </c>
      <c r="H68" s="230">
        <f t="shared" si="12"/>
        <v>9.0000000000000011E-3</v>
      </c>
      <c r="I68" s="230">
        <f t="shared" si="12"/>
        <v>1.1500000000000002E-2</v>
      </c>
      <c r="J68" s="230">
        <f t="shared" si="12"/>
        <v>0.01</v>
      </c>
      <c r="K68" s="230">
        <f t="shared" si="12"/>
        <v>9.0000000000000011E-3</v>
      </c>
      <c r="L68" s="230">
        <f t="shared" si="12"/>
        <v>9.0000000000000011E-3</v>
      </c>
      <c r="M68" s="230">
        <f t="shared" si="12"/>
        <v>9.0000000000000011E-3</v>
      </c>
      <c r="N68" s="230">
        <f t="shared" si="12"/>
        <v>9.0000000000000011E-3</v>
      </c>
      <c r="O68" s="230">
        <f t="shared" si="12"/>
        <v>4.000000000000001E-3</v>
      </c>
      <c r="P68" s="230">
        <f>SUM(D68:O68)</f>
        <v>9.0000000000000024E-2</v>
      </c>
    </row>
    <row r="69" spans="1:51" s="250" customFormat="1" ht="15.75" customHeight="1" x14ac:dyDescent="0.25">
      <c r="A69" s="205"/>
      <c r="B69" s="205"/>
      <c r="C69" s="209" t="s">
        <v>63</v>
      </c>
      <c r="D69" s="231">
        <f>D68*$W$17/$B$34</f>
        <v>0</v>
      </c>
      <c r="E69" s="231">
        <f t="shared" ref="E69:O69" si="13">E68*$W$17/$B$34</f>
        <v>1.3333333333333336E-2</v>
      </c>
      <c r="F69" s="231">
        <f t="shared" si="13"/>
        <v>2.1666666666666664E-2</v>
      </c>
      <c r="G69" s="231">
        <f t="shared" si="13"/>
        <v>0.03</v>
      </c>
      <c r="H69" s="231">
        <f t="shared" si="13"/>
        <v>0.03</v>
      </c>
      <c r="I69" s="231">
        <f t="shared" si="13"/>
        <v>3.833333333333333E-2</v>
      </c>
      <c r="J69" s="231">
        <f t="shared" si="13"/>
        <v>3.3333333333333333E-2</v>
      </c>
      <c r="K69" s="231">
        <f t="shared" si="13"/>
        <v>0.03</v>
      </c>
      <c r="L69" s="231">
        <f t="shared" si="13"/>
        <v>0.03</v>
      </c>
      <c r="M69" s="231">
        <f t="shared" si="13"/>
        <v>0.03</v>
      </c>
      <c r="N69" s="231">
        <f t="shared" si="13"/>
        <v>0.03</v>
      </c>
      <c r="O69" s="231">
        <f t="shared" si="13"/>
        <v>1.3333333333333336E-2</v>
      </c>
      <c r="P69" s="232">
        <f>SUM(D69:O69)</f>
        <v>0.29999999999999993</v>
      </c>
      <c r="Q69" s="204"/>
      <c r="R69" s="205"/>
      <c r="S69" s="205"/>
      <c r="T69" s="205"/>
      <c r="U69" s="205"/>
      <c r="V69" s="205"/>
      <c r="W69" s="205"/>
      <c r="X69" s="205"/>
      <c r="Y69" s="205"/>
      <c r="Z69" s="205"/>
      <c r="AA69" s="205"/>
      <c r="AB69" s="205"/>
      <c r="AC69" s="205"/>
      <c r="AD69" s="205"/>
      <c r="AE69" s="205"/>
      <c r="AF69" s="205"/>
      <c r="AG69" s="205"/>
      <c r="AH69" s="205"/>
      <c r="AI69" s="205"/>
      <c r="AJ69" s="205"/>
      <c r="AK69" s="205"/>
      <c r="AL69" s="205"/>
      <c r="AM69" s="205"/>
      <c r="AN69" s="205"/>
      <c r="AO69" s="205"/>
      <c r="AP69" s="205"/>
      <c r="AQ69" s="205"/>
      <c r="AR69" s="205"/>
      <c r="AS69" s="205"/>
      <c r="AT69" s="205"/>
      <c r="AU69" s="205"/>
      <c r="AV69" s="205"/>
      <c r="AW69" s="205"/>
      <c r="AX69" s="205"/>
      <c r="AY69" s="205"/>
    </row>
  </sheetData>
  <mergeCells count="87">
    <mergeCell ref="AB4:AD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11:B13"/>
    <mergeCell ref="C11:AD13"/>
    <mergeCell ref="A7:B9"/>
    <mergeCell ref="C7:C9"/>
    <mergeCell ref="D7:H9"/>
    <mergeCell ref="A19:AD19"/>
    <mergeCell ref="C20:P20"/>
    <mergeCell ref="Q20:AD20"/>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 ref="A44:A45"/>
    <mergeCell ref="B44:B45"/>
    <mergeCell ref="Q44:AD45"/>
    <mergeCell ref="A40:A41"/>
    <mergeCell ref="B40:B41"/>
    <mergeCell ref="Q40:AD41"/>
    <mergeCell ref="A42:A43"/>
    <mergeCell ref="B42:B43"/>
    <mergeCell ref="Q42:AD43"/>
    <mergeCell ref="A55:A56"/>
    <mergeCell ref="B55:B56"/>
    <mergeCell ref="C55:P55"/>
    <mergeCell ref="A57:A58"/>
    <mergeCell ref="B57:B58"/>
    <mergeCell ref="A59:A60"/>
    <mergeCell ref="B59:B60"/>
    <mergeCell ref="A61:A62"/>
    <mergeCell ref="B61:B62"/>
    <mergeCell ref="A63:A64"/>
    <mergeCell ref="B63:B64"/>
  </mergeCells>
  <phoneticPr fontId="50" type="noConversion"/>
  <dataValidations disablePrompts="1" count="3">
    <dataValidation type="list" allowBlank="1" showInputMessage="1" showErrorMessage="1" sqref="C7:C9" xr:uid="{00000000-0002-0000-03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textLength" operator="lessThanOrEqual" allowBlank="1" showInputMessage="1" showErrorMessage="1" errorTitle="Máximo 2.000 caracteres" error="Máximo 2.000 caracteres" sqref="Q34 Q38:AD45 W34 AA34" xr:uid="{00000000-0002-0000-0300-000002000000}">
      <formula1>2000</formula1>
    </dataValidation>
  </dataValidations>
  <printOptions horizontalCentered="1"/>
  <pageMargins left="0.73685039370078742" right="0.19685039370078741" top="0.19685039370078741" bottom="0.19685039370078741" header="0" footer="0"/>
  <pageSetup paperSize="9" scale="24"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7030A0"/>
  </sheetPr>
  <dimension ref="A1:AY67"/>
  <sheetViews>
    <sheetView view="pageBreakPreview" topLeftCell="K18" zoomScale="60" zoomScaleNormal="75" workbookViewId="0">
      <selection activeCell="U25" sqref="U25"/>
    </sheetView>
  </sheetViews>
  <sheetFormatPr baseColWidth="10" defaultColWidth="11.42578125" defaultRowHeight="15" x14ac:dyDescent="0.25"/>
  <cols>
    <col min="1" max="1" width="42.140625" style="108" customWidth="1"/>
    <col min="2" max="2" width="13.42578125" style="108" customWidth="1"/>
    <col min="3" max="3" width="17.42578125" style="108" customWidth="1"/>
    <col min="4" max="16" width="15.42578125" style="108" customWidth="1"/>
    <col min="17" max="17" width="16" style="108" bestFit="1" customWidth="1"/>
    <col min="18" max="28" width="14.85546875" style="108" bestFit="1" customWidth="1"/>
    <col min="29" max="29" width="16" style="108" bestFit="1" customWidth="1"/>
    <col min="30" max="30" width="11.42578125" style="108"/>
    <col min="31" max="32" width="14.42578125" style="108" bestFit="1" customWidth="1"/>
    <col min="33" max="16384" width="11.42578125" style="108"/>
  </cols>
  <sheetData>
    <row r="1" spans="1:30" ht="15" customHeight="1" x14ac:dyDescent="0.25">
      <c r="A1" s="489"/>
      <c r="B1" s="492" t="s">
        <v>0</v>
      </c>
      <c r="C1" s="493"/>
      <c r="D1" s="493"/>
      <c r="E1" s="493"/>
      <c r="F1" s="493"/>
      <c r="G1" s="493"/>
      <c r="H1" s="493"/>
      <c r="I1" s="493"/>
      <c r="J1" s="493"/>
      <c r="K1" s="493"/>
      <c r="L1" s="493"/>
      <c r="M1" s="493"/>
      <c r="N1" s="493"/>
      <c r="O1" s="493"/>
      <c r="P1" s="493"/>
      <c r="Q1" s="493"/>
      <c r="R1" s="493"/>
      <c r="S1" s="493"/>
      <c r="T1" s="493"/>
      <c r="U1" s="493"/>
      <c r="V1" s="493"/>
      <c r="W1" s="493"/>
      <c r="X1" s="493"/>
      <c r="Y1" s="493"/>
      <c r="Z1" s="493"/>
      <c r="AA1" s="494"/>
      <c r="AB1" s="495" t="s">
        <v>1</v>
      </c>
      <c r="AC1" s="496"/>
      <c r="AD1" s="497"/>
    </row>
    <row r="2" spans="1:30" ht="15.75" x14ac:dyDescent="0.25">
      <c r="A2" s="490"/>
      <c r="B2" s="498" t="s">
        <v>2</v>
      </c>
      <c r="C2" s="499"/>
      <c r="D2" s="499"/>
      <c r="E2" s="499"/>
      <c r="F2" s="499"/>
      <c r="G2" s="499"/>
      <c r="H2" s="499"/>
      <c r="I2" s="499"/>
      <c r="J2" s="499"/>
      <c r="K2" s="499"/>
      <c r="L2" s="499"/>
      <c r="M2" s="499"/>
      <c r="N2" s="499"/>
      <c r="O2" s="499"/>
      <c r="P2" s="499"/>
      <c r="Q2" s="499"/>
      <c r="R2" s="499"/>
      <c r="S2" s="499"/>
      <c r="T2" s="499"/>
      <c r="U2" s="499"/>
      <c r="V2" s="499"/>
      <c r="W2" s="499"/>
      <c r="X2" s="499"/>
      <c r="Y2" s="499"/>
      <c r="Z2" s="499"/>
      <c r="AA2" s="500"/>
      <c r="AB2" s="501" t="s">
        <v>3</v>
      </c>
      <c r="AC2" s="502"/>
      <c r="AD2" s="503"/>
    </row>
    <row r="3" spans="1:30" ht="37.5" customHeight="1" x14ac:dyDescent="0.25">
      <c r="A3" s="490"/>
      <c r="B3" s="504" t="s">
        <v>4</v>
      </c>
      <c r="C3" s="505"/>
      <c r="D3" s="505"/>
      <c r="E3" s="505"/>
      <c r="F3" s="505"/>
      <c r="G3" s="505"/>
      <c r="H3" s="505"/>
      <c r="I3" s="505"/>
      <c r="J3" s="505"/>
      <c r="K3" s="505"/>
      <c r="L3" s="505"/>
      <c r="M3" s="505"/>
      <c r="N3" s="505"/>
      <c r="O3" s="505"/>
      <c r="P3" s="505"/>
      <c r="Q3" s="505"/>
      <c r="R3" s="505"/>
      <c r="S3" s="505"/>
      <c r="T3" s="505"/>
      <c r="U3" s="505"/>
      <c r="V3" s="505"/>
      <c r="W3" s="505"/>
      <c r="X3" s="505"/>
      <c r="Y3" s="505"/>
      <c r="Z3" s="505"/>
      <c r="AA3" s="506"/>
      <c r="AB3" s="501" t="s">
        <v>5</v>
      </c>
      <c r="AC3" s="502"/>
      <c r="AD3" s="503"/>
    </row>
    <row r="4" spans="1:30" ht="16.5" thickBot="1" x14ac:dyDescent="0.3">
      <c r="A4" s="491"/>
      <c r="B4" s="507"/>
      <c r="C4" s="508"/>
      <c r="D4" s="508"/>
      <c r="E4" s="508"/>
      <c r="F4" s="508"/>
      <c r="G4" s="508"/>
      <c r="H4" s="508"/>
      <c r="I4" s="508"/>
      <c r="J4" s="508"/>
      <c r="K4" s="508"/>
      <c r="L4" s="508"/>
      <c r="M4" s="508"/>
      <c r="N4" s="508"/>
      <c r="O4" s="508"/>
      <c r="P4" s="508"/>
      <c r="Q4" s="508"/>
      <c r="R4" s="508"/>
      <c r="S4" s="508"/>
      <c r="T4" s="508"/>
      <c r="U4" s="508"/>
      <c r="V4" s="508"/>
      <c r="W4" s="508"/>
      <c r="X4" s="508"/>
      <c r="Y4" s="508"/>
      <c r="Z4" s="508"/>
      <c r="AA4" s="509"/>
      <c r="AB4" s="510" t="s">
        <v>6</v>
      </c>
      <c r="AC4" s="511"/>
      <c r="AD4" s="512"/>
    </row>
    <row r="5" spans="1:30" ht="15.75"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15.75"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515" t="s">
        <v>7</v>
      </c>
      <c r="B7" s="516"/>
      <c r="C7" s="521" t="s">
        <v>40</v>
      </c>
      <c r="D7" s="515" t="s">
        <v>9</v>
      </c>
      <c r="E7" s="524"/>
      <c r="F7" s="524"/>
      <c r="G7" s="524"/>
      <c r="H7" s="516"/>
      <c r="I7" s="527">
        <v>44929</v>
      </c>
      <c r="J7" s="528"/>
      <c r="K7" s="515" t="s">
        <v>10</v>
      </c>
      <c r="L7" s="516"/>
      <c r="M7" s="543" t="s">
        <v>11</v>
      </c>
      <c r="N7" s="544"/>
      <c r="O7" s="533"/>
      <c r="P7" s="534"/>
      <c r="Q7" s="54"/>
      <c r="R7" s="54"/>
      <c r="S7" s="54"/>
      <c r="T7" s="54"/>
      <c r="U7" s="54"/>
      <c r="V7" s="54"/>
      <c r="W7" s="54"/>
      <c r="X7" s="54"/>
      <c r="Y7" s="54"/>
      <c r="Z7" s="55"/>
      <c r="AA7" s="54"/>
      <c r="AB7" s="54"/>
      <c r="AC7" s="60"/>
      <c r="AD7" s="61"/>
    </row>
    <row r="8" spans="1:30" x14ac:dyDescent="0.25">
      <c r="A8" s="517"/>
      <c r="B8" s="518"/>
      <c r="C8" s="522"/>
      <c r="D8" s="517"/>
      <c r="E8" s="525"/>
      <c r="F8" s="525"/>
      <c r="G8" s="525"/>
      <c r="H8" s="518"/>
      <c r="I8" s="529"/>
      <c r="J8" s="530"/>
      <c r="K8" s="517"/>
      <c r="L8" s="518"/>
      <c r="M8" s="535" t="s">
        <v>12</v>
      </c>
      <c r="N8" s="536"/>
      <c r="O8" s="537"/>
      <c r="P8" s="538"/>
      <c r="Q8" s="54"/>
      <c r="R8" s="54"/>
      <c r="S8" s="54"/>
      <c r="T8" s="54"/>
      <c r="U8" s="54"/>
      <c r="V8" s="54"/>
      <c r="W8" s="54"/>
      <c r="X8" s="54"/>
      <c r="Y8" s="54"/>
      <c r="Z8" s="55"/>
      <c r="AA8" s="54"/>
      <c r="AB8" s="54"/>
      <c r="AC8" s="60"/>
      <c r="AD8" s="61"/>
    </row>
    <row r="9" spans="1:30" ht="15.75" thickBot="1" x14ac:dyDescent="0.3">
      <c r="A9" s="519"/>
      <c r="B9" s="520"/>
      <c r="C9" s="523"/>
      <c r="D9" s="519"/>
      <c r="E9" s="526"/>
      <c r="F9" s="526"/>
      <c r="G9" s="526"/>
      <c r="H9" s="520"/>
      <c r="I9" s="531"/>
      <c r="J9" s="532"/>
      <c r="K9" s="519"/>
      <c r="L9" s="520"/>
      <c r="M9" s="539" t="s">
        <v>13</v>
      </c>
      <c r="N9" s="540"/>
      <c r="O9" s="541" t="s">
        <v>14</v>
      </c>
      <c r="P9" s="542"/>
      <c r="Q9" s="54"/>
      <c r="R9" s="54"/>
      <c r="S9" s="54"/>
      <c r="T9" s="54"/>
      <c r="U9" s="54"/>
      <c r="V9" s="54"/>
      <c r="W9" s="54"/>
      <c r="X9" s="54"/>
      <c r="Y9" s="54"/>
      <c r="Z9" s="55"/>
      <c r="AA9" s="54"/>
      <c r="AB9" s="54"/>
      <c r="AC9" s="60"/>
      <c r="AD9" s="61"/>
    </row>
    <row r="10" spans="1:30" ht="15.75" thickBot="1" x14ac:dyDescent="0.3">
      <c r="A10" s="151"/>
      <c r="B10" s="152"/>
      <c r="C10" s="152"/>
      <c r="D10" s="65"/>
      <c r="E10" s="65"/>
      <c r="F10" s="65"/>
      <c r="G10" s="65"/>
      <c r="H10" s="65"/>
      <c r="I10" s="212"/>
      <c r="J10" s="212"/>
      <c r="K10" s="65"/>
      <c r="L10" s="65"/>
      <c r="M10" s="213"/>
      <c r="N10" s="213"/>
      <c r="O10" s="112"/>
      <c r="P10" s="112"/>
      <c r="Q10" s="152"/>
      <c r="R10" s="152"/>
      <c r="S10" s="152"/>
      <c r="T10" s="152"/>
      <c r="U10" s="152"/>
      <c r="V10" s="152"/>
      <c r="W10" s="152"/>
      <c r="X10" s="152"/>
      <c r="Y10" s="152"/>
      <c r="Z10" s="153"/>
      <c r="AA10" s="152"/>
      <c r="AB10" s="152"/>
      <c r="AC10" s="154"/>
      <c r="AD10" s="155"/>
    </row>
    <row r="11" spans="1:30" x14ac:dyDescent="0.25">
      <c r="A11" s="515" t="s">
        <v>15</v>
      </c>
      <c r="B11" s="516"/>
      <c r="C11" s="580" t="s">
        <v>113</v>
      </c>
      <c r="D11" s="581"/>
      <c r="E11" s="581"/>
      <c r="F11" s="581"/>
      <c r="G11" s="581"/>
      <c r="H11" s="581"/>
      <c r="I11" s="581"/>
      <c r="J11" s="581"/>
      <c r="K11" s="581"/>
      <c r="L11" s="581"/>
      <c r="M11" s="581"/>
      <c r="N11" s="581"/>
      <c r="O11" s="581"/>
      <c r="P11" s="581"/>
      <c r="Q11" s="581"/>
      <c r="R11" s="581"/>
      <c r="S11" s="581"/>
      <c r="T11" s="581"/>
      <c r="U11" s="581"/>
      <c r="V11" s="581"/>
      <c r="W11" s="581"/>
      <c r="X11" s="581"/>
      <c r="Y11" s="581"/>
      <c r="Z11" s="581"/>
      <c r="AA11" s="581"/>
      <c r="AB11" s="581"/>
      <c r="AC11" s="581"/>
      <c r="AD11" s="582"/>
    </row>
    <row r="12" spans="1:30" x14ac:dyDescent="0.25">
      <c r="A12" s="517"/>
      <c r="B12" s="518"/>
      <c r="C12" s="583"/>
      <c r="D12" s="584"/>
      <c r="E12" s="584"/>
      <c r="F12" s="584"/>
      <c r="G12" s="584"/>
      <c r="H12" s="584"/>
      <c r="I12" s="584"/>
      <c r="J12" s="584"/>
      <c r="K12" s="584"/>
      <c r="L12" s="584"/>
      <c r="M12" s="584"/>
      <c r="N12" s="584"/>
      <c r="O12" s="584"/>
      <c r="P12" s="584"/>
      <c r="Q12" s="584"/>
      <c r="R12" s="584"/>
      <c r="S12" s="584"/>
      <c r="T12" s="584"/>
      <c r="U12" s="584"/>
      <c r="V12" s="584"/>
      <c r="W12" s="584"/>
      <c r="X12" s="584"/>
      <c r="Y12" s="584"/>
      <c r="Z12" s="584"/>
      <c r="AA12" s="584"/>
      <c r="AB12" s="584"/>
      <c r="AC12" s="584"/>
      <c r="AD12" s="585"/>
    </row>
    <row r="13" spans="1:30" ht="15.75" thickBot="1" x14ac:dyDescent="0.3">
      <c r="A13" s="519"/>
      <c r="B13" s="520"/>
      <c r="C13" s="586"/>
      <c r="D13" s="587"/>
      <c r="E13" s="587"/>
      <c r="F13" s="587"/>
      <c r="G13" s="587"/>
      <c r="H13" s="587"/>
      <c r="I13" s="587"/>
      <c r="J13" s="587"/>
      <c r="K13" s="587"/>
      <c r="L13" s="587"/>
      <c r="M13" s="587"/>
      <c r="N13" s="587"/>
      <c r="O13" s="587"/>
      <c r="P13" s="587"/>
      <c r="Q13" s="587"/>
      <c r="R13" s="587"/>
      <c r="S13" s="587"/>
      <c r="T13" s="587"/>
      <c r="U13" s="587"/>
      <c r="V13" s="587"/>
      <c r="W13" s="587"/>
      <c r="X13" s="587"/>
      <c r="Y13" s="587"/>
      <c r="Z13" s="587"/>
      <c r="AA13" s="587"/>
      <c r="AB13" s="587"/>
      <c r="AC13" s="587"/>
      <c r="AD13" s="588"/>
    </row>
    <row r="14" spans="1:30" ht="15.75"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x14ac:dyDescent="0.3">
      <c r="A15" s="471" t="s">
        <v>17</v>
      </c>
      <c r="B15" s="472"/>
      <c r="C15" s="577" t="s">
        <v>114</v>
      </c>
      <c r="D15" s="578"/>
      <c r="E15" s="578"/>
      <c r="F15" s="578"/>
      <c r="G15" s="578"/>
      <c r="H15" s="578"/>
      <c r="I15" s="578"/>
      <c r="J15" s="578"/>
      <c r="K15" s="579"/>
      <c r="L15" s="484" t="s">
        <v>19</v>
      </c>
      <c r="M15" s="488"/>
      <c r="N15" s="488"/>
      <c r="O15" s="488"/>
      <c r="P15" s="488"/>
      <c r="Q15" s="485"/>
      <c r="R15" s="481" t="s">
        <v>115</v>
      </c>
      <c r="S15" s="482"/>
      <c r="T15" s="482"/>
      <c r="U15" s="482"/>
      <c r="V15" s="482"/>
      <c r="W15" s="482"/>
      <c r="X15" s="483"/>
      <c r="Y15" s="484" t="s">
        <v>21</v>
      </c>
      <c r="Z15" s="485"/>
      <c r="AA15" s="467" t="s">
        <v>123</v>
      </c>
      <c r="AB15" s="468"/>
      <c r="AC15" s="468"/>
      <c r="AD15" s="469"/>
    </row>
    <row r="16" spans="1:30" ht="15.75" thickBot="1" x14ac:dyDescent="0.3">
      <c r="A16" s="59"/>
      <c r="B16" s="54"/>
      <c r="C16" s="470"/>
      <c r="D16" s="470"/>
      <c r="E16" s="470"/>
      <c r="F16" s="470"/>
      <c r="G16" s="470"/>
      <c r="H16" s="470"/>
      <c r="I16" s="470"/>
      <c r="J16" s="470"/>
      <c r="K16" s="470"/>
      <c r="L16" s="470"/>
      <c r="M16" s="470"/>
      <c r="N16" s="470"/>
      <c r="O16" s="470"/>
      <c r="P16" s="470"/>
      <c r="Q16" s="470"/>
      <c r="R16" s="470"/>
      <c r="S16" s="470"/>
      <c r="T16" s="470"/>
      <c r="U16" s="470"/>
      <c r="V16" s="470"/>
      <c r="W16" s="470"/>
      <c r="X16" s="470"/>
      <c r="Y16" s="470"/>
      <c r="Z16" s="470"/>
      <c r="AA16" s="470"/>
      <c r="AB16" s="470"/>
      <c r="AC16" s="73"/>
      <c r="AD16" s="74"/>
    </row>
    <row r="17" spans="1:33" ht="31.5" customHeight="1" thickBot="1" x14ac:dyDescent="0.3">
      <c r="A17" s="471" t="s">
        <v>23</v>
      </c>
      <c r="B17" s="472"/>
      <c r="C17" s="651" t="s">
        <v>124</v>
      </c>
      <c r="D17" s="652"/>
      <c r="E17" s="652"/>
      <c r="F17" s="652"/>
      <c r="G17" s="652"/>
      <c r="H17" s="652"/>
      <c r="I17" s="652"/>
      <c r="J17" s="652"/>
      <c r="K17" s="652"/>
      <c r="L17" s="652"/>
      <c r="M17" s="652"/>
      <c r="N17" s="652"/>
      <c r="O17" s="652"/>
      <c r="P17" s="652"/>
      <c r="Q17" s="653"/>
      <c r="R17" s="484" t="s">
        <v>25</v>
      </c>
      <c r="S17" s="488"/>
      <c r="T17" s="488"/>
      <c r="U17" s="488"/>
      <c r="V17" s="485"/>
      <c r="W17" s="486">
        <v>0.3</v>
      </c>
      <c r="X17" s="487"/>
      <c r="Y17" s="488" t="s">
        <v>26</v>
      </c>
      <c r="Z17" s="488"/>
      <c r="AA17" s="488"/>
      <c r="AB17" s="485"/>
      <c r="AC17" s="476">
        <v>0.06</v>
      </c>
      <c r="AD17" s="477"/>
    </row>
    <row r="18" spans="1:33" ht="15.75"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33" ht="32.25" customHeight="1" thickBot="1" x14ac:dyDescent="0.3">
      <c r="A19" s="484" t="s">
        <v>27</v>
      </c>
      <c r="B19" s="488"/>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5"/>
      <c r="AE19" s="215"/>
      <c r="AF19" s="215"/>
    </row>
    <row r="20" spans="1:33" ht="32.25" customHeight="1" thickBot="1" x14ac:dyDescent="0.3">
      <c r="A20" s="246"/>
      <c r="B20" s="58"/>
      <c r="C20" s="484" t="s">
        <v>28</v>
      </c>
      <c r="D20" s="488"/>
      <c r="E20" s="488"/>
      <c r="F20" s="488"/>
      <c r="G20" s="488"/>
      <c r="H20" s="488"/>
      <c r="I20" s="488"/>
      <c r="J20" s="488"/>
      <c r="K20" s="488"/>
      <c r="L20" s="488"/>
      <c r="M20" s="488"/>
      <c r="N20" s="488"/>
      <c r="O20" s="488"/>
      <c r="P20" s="485"/>
      <c r="Q20" s="484" t="s">
        <v>29</v>
      </c>
      <c r="R20" s="488"/>
      <c r="S20" s="488"/>
      <c r="T20" s="488"/>
      <c r="U20" s="488"/>
      <c r="V20" s="488"/>
      <c r="W20" s="488"/>
      <c r="X20" s="488"/>
      <c r="Y20" s="488"/>
      <c r="Z20" s="488"/>
      <c r="AA20" s="488"/>
      <c r="AB20" s="488"/>
      <c r="AC20" s="488"/>
      <c r="AD20" s="485"/>
      <c r="AE20" s="215"/>
      <c r="AF20" s="215"/>
    </row>
    <row r="21" spans="1:33" ht="32.25" customHeight="1" thickBot="1" x14ac:dyDescent="0.3">
      <c r="A21" s="59"/>
      <c r="B21" s="247"/>
      <c r="C21" s="324" t="s">
        <v>30</v>
      </c>
      <c r="D21" s="187" t="s">
        <v>31</v>
      </c>
      <c r="E21" s="187" t="s">
        <v>32</v>
      </c>
      <c r="F21" s="187" t="s">
        <v>33</v>
      </c>
      <c r="G21" s="187" t="s">
        <v>34</v>
      </c>
      <c r="H21" s="187" t="s">
        <v>35</v>
      </c>
      <c r="I21" s="187" t="s">
        <v>8</v>
      </c>
      <c r="J21" s="187" t="s">
        <v>36</v>
      </c>
      <c r="K21" s="187" t="s">
        <v>37</v>
      </c>
      <c r="L21" s="187" t="s">
        <v>38</v>
      </c>
      <c r="M21" s="187" t="s">
        <v>39</v>
      </c>
      <c r="N21" s="187" t="s">
        <v>40</v>
      </c>
      <c r="O21" s="187" t="s">
        <v>41</v>
      </c>
      <c r="P21" s="188" t="s">
        <v>42</v>
      </c>
      <c r="Q21" s="324" t="s">
        <v>30</v>
      </c>
      <c r="R21" s="187" t="s">
        <v>31</v>
      </c>
      <c r="S21" s="187" t="s">
        <v>32</v>
      </c>
      <c r="T21" s="187" t="s">
        <v>33</v>
      </c>
      <c r="U21" s="187" t="s">
        <v>34</v>
      </c>
      <c r="V21" s="187" t="s">
        <v>35</v>
      </c>
      <c r="W21" s="187" t="s">
        <v>8</v>
      </c>
      <c r="X21" s="187" t="s">
        <v>36</v>
      </c>
      <c r="Y21" s="187" t="s">
        <v>37</v>
      </c>
      <c r="Z21" s="187" t="s">
        <v>38</v>
      </c>
      <c r="AA21" s="187" t="s">
        <v>39</v>
      </c>
      <c r="AB21" s="187" t="s">
        <v>40</v>
      </c>
      <c r="AC21" s="187" t="s">
        <v>41</v>
      </c>
      <c r="AD21" s="188" t="s">
        <v>42</v>
      </c>
      <c r="AE21" s="216"/>
      <c r="AF21" s="216"/>
    </row>
    <row r="22" spans="1:33" ht="32.25" customHeight="1" x14ac:dyDescent="0.25">
      <c r="A22" s="180" t="s">
        <v>43</v>
      </c>
      <c r="B22" s="248"/>
      <c r="C22" s="245" t="str">
        <f>'Meta 4 DED'!C22</f>
        <v>-</v>
      </c>
      <c r="D22" s="239" t="s">
        <v>44</v>
      </c>
      <c r="E22" s="239" t="s">
        <v>44</v>
      </c>
      <c r="F22" s="239" t="s">
        <v>44</v>
      </c>
      <c r="G22" s="239" t="s">
        <v>44</v>
      </c>
      <c r="H22" s="239" t="s">
        <v>44</v>
      </c>
      <c r="I22" s="239" t="s">
        <v>44</v>
      </c>
      <c r="J22" s="239" t="s">
        <v>44</v>
      </c>
      <c r="K22" s="239" t="s">
        <v>44</v>
      </c>
      <c r="L22" s="239" t="s">
        <v>44</v>
      </c>
      <c r="M22" s="239" t="s">
        <v>44</v>
      </c>
      <c r="N22" s="239" t="s">
        <v>44</v>
      </c>
      <c r="O22" s="239">
        <f>SUM(C22:N22)</f>
        <v>0</v>
      </c>
      <c r="P22" s="237"/>
      <c r="Q22" s="253">
        <v>226457920</v>
      </c>
      <c r="R22" s="239"/>
      <c r="S22" s="239"/>
      <c r="T22" s="239">
        <f>8596121.92+64726000</f>
        <v>73322121.920000002</v>
      </c>
      <c r="U22" s="239"/>
      <c r="V22" s="239"/>
      <c r="W22" s="239"/>
      <c r="X22" s="239"/>
      <c r="Y22" s="239"/>
      <c r="Z22" s="239"/>
      <c r="AA22" s="239"/>
      <c r="AB22" s="239">
        <f>245584348-Q22-R22-S22-T22-U22-V22-W22-X22-Y22-Z22-AA22</f>
        <v>-54195693.920000002</v>
      </c>
      <c r="AC22" s="239">
        <f>SUM(Q22:AB22)</f>
        <v>245584348</v>
      </c>
      <c r="AD22" s="235"/>
      <c r="AE22" s="216"/>
      <c r="AF22" s="216"/>
    </row>
    <row r="23" spans="1:33" ht="32.25" customHeight="1" x14ac:dyDescent="0.25">
      <c r="A23" s="181" t="s">
        <v>45</v>
      </c>
      <c r="B23" s="182"/>
      <c r="C23" s="238" t="s">
        <v>46</v>
      </c>
      <c r="D23" s="239" t="s">
        <v>46</v>
      </c>
      <c r="E23" s="239" t="s">
        <v>46</v>
      </c>
      <c r="F23" s="239" t="s">
        <v>46</v>
      </c>
      <c r="G23" s="239" t="s">
        <v>46</v>
      </c>
      <c r="H23" s="239" t="s">
        <v>46</v>
      </c>
      <c r="I23" s="239" t="s">
        <v>46</v>
      </c>
      <c r="J23" s="239" t="s">
        <v>46</v>
      </c>
      <c r="K23" s="239" t="s">
        <v>46</v>
      </c>
      <c r="L23" s="239" t="s">
        <v>46</v>
      </c>
      <c r="M23" s="239" t="s">
        <v>46</v>
      </c>
      <c r="N23" s="239" t="s">
        <v>46</v>
      </c>
      <c r="O23" s="241" t="s">
        <v>46</v>
      </c>
      <c r="P23" s="277"/>
      <c r="Q23" s="278">
        <v>226457920</v>
      </c>
      <c r="R23" s="272">
        <f>249909700-Q23</f>
        <v>23451780</v>
      </c>
      <c r="S23" s="272">
        <f>225820030-Q23-R23</f>
        <v>-24089670</v>
      </c>
      <c r="T23" s="272">
        <v>0</v>
      </c>
      <c r="U23" s="272">
        <f>233549424-Q23-R23-S23-T23</f>
        <v>7729394</v>
      </c>
      <c r="V23" s="272">
        <f>233549424-Q23-R23-S23-T23-U23</f>
        <v>0</v>
      </c>
      <c r="W23" s="272">
        <f>233549424-Q23-R23-S23-T23-U23-V23</f>
        <v>0</v>
      </c>
      <c r="X23" s="272">
        <f>233549424-Q23-R23-S23-T23-U23-V23-W23</f>
        <v>0</v>
      </c>
      <c r="Y23" s="272">
        <f>233549424-Q23-R23-S23-T23-U23-V23-W23-X23</f>
        <v>0</v>
      </c>
      <c r="Z23" s="272">
        <f>233549424-Q23-R23-S23-T23-U23-V23-W23-X23-Y23</f>
        <v>0</v>
      </c>
      <c r="AA23" s="239">
        <f>236961624-Q23-R23-S23-T23-U23-V23-W23-X23-Y23-Z23</f>
        <v>3412200</v>
      </c>
      <c r="AB23" s="239">
        <f>243904035-Q23-R23-S23-T23-U23-V23-W23-X23-Y23-AA23</f>
        <v>6942411</v>
      </c>
      <c r="AC23" s="271">
        <f>SUM(Q23:AB23)</f>
        <v>243904035</v>
      </c>
      <c r="AD23" s="283">
        <f>(SUM(Q23:AB23)/SUM(Q22:AB22))</f>
        <v>0.99315789864588599</v>
      </c>
      <c r="AE23" s="285"/>
      <c r="AF23" s="285"/>
    </row>
    <row r="24" spans="1:33" ht="32.25" customHeight="1" x14ac:dyDescent="0.25">
      <c r="A24" s="181" t="s">
        <v>47</v>
      </c>
      <c r="B24" s="182"/>
      <c r="C24" s="253" t="s">
        <v>44</v>
      </c>
      <c r="D24" s="239" t="s">
        <v>44</v>
      </c>
      <c r="E24" s="239" t="s">
        <v>44</v>
      </c>
      <c r="F24" s="241">
        <f>56000007+7830430</f>
        <v>63830437</v>
      </c>
      <c r="G24" s="241">
        <f>374000-374000</f>
        <v>0</v>
      </c>
      <c r="H24" s="239" t="s">
        <v>44</v>
      </c>
      <c r="I24" s="239" t="s">
        <v>44</v>
      </c>
      <c r="J24" s="239" t="s">
        <v>44</v>
      </c>
      <c r="K24" s="239" t="s">
        <v>44</v>
      </c>
      <c r="L24" s="239" t="s">
        <v>44</v>
      </c>
      <c r="M24" s="239" t="s">
        <v>44</v>
      </c>
      <c r="N24" s="239" t="s">
        <v>44</v>
      </c>
      <c r="O24" s="239">
        <f t="shared" ref="O24:O25" si="0">SUM(C24:N24)</f>
        <v>63830437</v>
      </c>
      <c r="P24" s="283"/>
      <c r="Q24" s="278"/>
      <c r="R24" s="271">
        <v>11116766.16</v>
      </c>
      <c r="S24" s="272">
        <v>20815535.493333299</v>
      </c>
      <c r="T24" s="272">
        <v>20815535.493333299</v>
      </c>
      <c r="U24" s="272">
        <v>20815535.493333299</v>
      </c>
      <c r="V24" s="272">
        <v>20815535.493333299</v>
      </c>
      <c r="W24" s="271">
        <v>20815535.493333299</v>
      </c>
      <c r="X24" s="271">
        <v>33760735.493333302</v>
      </c>
      <c r="Y24" s="271">
        <v>33760735.493333302</v>
      </c>
      <c r="Z24" s="271">
        <v>33760735.493333302</v>
      </c>
      <c r="AA24" s="241">
        <v>33760735.493333302</v>
      </c>
      <c r="AB24" s="239">
        <f>245584348-Q24-R24-S24-T24-U24-V24-W24-X24-Y24-Z24-AA24</f>
        <v>-4653037.5999997333</v>
      </c>
      <c r="AC24" s="271">
        <f>SUM(Q24:AB24)</f>
        <v>245584348</v>
      </c>
      <c r="AD24" s="283"/>
      <c r="AE24" s="285"/>
      <c r="AF24" s="285"/>
      <c r="AG24" s="217"/>
    </row>
    <row r="25" spans="1:33" ht="32.25" customHeight="1" thickBot="1" x14ac:dyDescent="0.3">
      <c r="A25" s="183" t="s">
        <v>48</v>
      </c>
      <c r="B25" s="249"/>
      <c r="C25" s="254">
        <v>0</v>
      </c>
      <c r="D25" s="255">
        <v>0</v>
      </c>
      <c r="E25" s="255">
        <v>7830430</v>
      </c>
      <c r="F25" s="255">
        <v>56000007</v>
      </c>
      <c r="G25" s="255">
        <f>63830437-C25-D25-E25-F25</f>
        <v>0</v>
      </c>
      <c r="H25" s="255">
        <v>0</v>
      </c>
      <c r="I25" s="255">
        <v>0</v>
      </c>
      <c r="J25" s="255">
        <v>0</v>
      </c>
      <c r="K25" s="255" t="s">
        <v>44</v>
      </c>
      <c r="L25" s="255" t="s">
        <v>44</v>
      </c>
      <c r="M25" s="255" t="s">
        <v>44</v>
      </c>
      <c r="N25" s="255" t="s">
        <v>44</v>
      </c>
      <c r="O25" s="276">
        <f t="shared" si="0"/>
        <v>63830437</v>
      </c>
      <c r="P25" s="282">
        <f>(SUM(C25:G25)/SUM(C24:G24))</f>
        <v>1</v>
      </c>
      <c r="Q25" s="279" t="s">
        <v>44</v>
      </c>
      <c r="R25" s="276">
        <v>10277309</v>
      </c>
      <c r="S25" s="276">
        <f>30253289-R25</f>
        <v>19975980</v>
      </c>
      <c r="T25" s="276">
        <v>19976180</v>
      </c>
      <c r="U25" s="276">
        <f>70205549-R25-S25-T25</f>
        <v>19976080</v>
      </c>
      <c r="V25" s="276">
        <f>97911023-R25-S25-T25-U25</f>
        <v>27705474</v>
      </c>
      <c r="W25" s="276">
        <f>117887103-R25-S25-T25-U25-V25</f>
        <v>19976080</v>
      </c>
      <c r="X25" s="276">
        <f>137863183-R25-S25-T25-U25-V25-W25</f>
        <v>19976080</v>
      </c>
      <c r="Y25" s="276">
        <f>157839263-R25-S25-T25-U25-V25-W25-X25</f>
        <v>19976080</v>
      </c>
      <c r="Z25" s="276">
        <f>177815343-R25-S25-T25-U25-V25-W25-X25-Y25</f>
        <v>19976080</v>
      </c>
      <c r="AA25" s="255">
        <f>197791423-R25-S25-T25-U25-V25-W25-X25-Y25-Z25</f>
        <v>19976080</v>
      </c>
      <c r="AB25" s="255">
        <f>242689902-R25-S25-T25-U25-V25-W25-X25-Y25-Z25-AA25</f>
        <v>44898479</v>
      </c>
      <c r="AC25" s="280">
        <f t="shared" ref="AC25" si="1">SUM(Q25:AB25)</f>
        <v>242689902</v>
      </c>
      <c r="AD25" s="282">
        <f>(SUM(Q25:AB25)/SUM(Q24:AB24))</f>
        <v>0.9882140453022682</v>
      </c>
      <c r="AE25" s="285"/>
      <c r="AF25" s="285"/>
      <c r="AG25" s="217"/>
    </row>
    <row r="26" spans="1:33" ht="15.75"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55"/>
    </row>
    <row r="27" spans="1:33" x14ac:dyDescent="0.25">
      <c r="A27" s="463" t="s">
        <v>49</v>
      </c>
      <c r="B27" s="464"/>
      <c r="C27" s="465"/>
      <c r="D27" s="465"/>
      <c r="E27" s="465"/>
      <c r="F27" s="465"/>
      <c r="G27" s="465"/>
      <c r="H27" s="465"/>
      <c r="I27" s="465"/>
      <c r="J27" s="465"/>
      <c r="K27" s="465"/>
      <c r="L27" s="465"/>
      <c r="M27" s="465"/>
      <c r="N27" s="465"/>
      <c r="O27" s="465"/>
      <c r="P27" s="465"/>
      <c r="Q27" s="465"/>
      <c r="R27" s="465"/>
      <c r="S27" s="465"/>
      <c r="T27" s="465"/>
      <c r="U27" s="465"/>
      <c r="V27" s="465"/>
      <c r="W27" s="465"/>
      <c r="X27" s="465"/>
      <c r="Y27" s="465"/>
      <c r="Z27" s="465"/>
      <c r="AA27" s="465"/>
      <c r="AB27" s="465"/>
      <c r="AC27" s="465"/>
      <c r="AD27" s="466"/>
    </row>
    <row r="28" spans="1:33" x14ac:dyDescent="0.25">
      <c r="A28" s="458" t="s">
        <v>50</v>
      </c>
      <c r="B28" s="460" t="s">
        <v>51</v>
      </c>
      <c r="C28" s="461"/>
      <c r="D28" s="423" t="s">
        <v>52</v>
      </c>
      <c r="E28" s="424"/>
      <c r="F28" s="424"/>
      <c r="G28" s="424"/>
      <c r="H28" s="424"/>
      <c r="I28" s="424"/>
      <c r="J28" s="424"/>
      <c r="K28" s="424"/>
      <c r="L28" s="424"/>
      <c r="M28" s="424"/>
      <c r="N28" s="424"/>
      <c r="O28" s="462"/>
      <c r="P28" s="451" t="s">
        <v>41</v>
      </c>
      <c r="Q28" s="451" t="s">
        <v>53</v>
      </c>
      <c r="R28" s="451"/>
      <c r="S28" s="451"/>
      <c r="T28" s="451"/>
      <c r="U28" s="451"/>
      <c r="V28" s="451"/>
      <c r="W28" s="451"/>
      <c r="X28" s="451"/>
      <c r="Y28" s="451"/>
      <c r="Z28" s="451"/>
      <c r="AA28" s="451"/>
      <c r="AB28" s="451"/>
      <c r="AC28" s="451"/>
      <c r="AD28" s="453"/>
    </row>
    <row r="29" spans="1:33" x14ac:dyDescent="0.25">
      <c r="A29" s="459"/>
      <c r="B29" s="454"/>
      <c r="C29" s="456"/>
      <c r="D29" s="88" t="s">
        <v>30</v>
      </c>
      <c r="E29" s="88" t="s">
        <v>31</v>
      </c>
      <c r="F29" s="88" t="s">
        <v>32</v>
      </c>
      <c r="G29" s="88" t="s">
        <v>33</v>
      </c>
      <c r="H29" s="88" t="s">
        <v>34</v>
      </c>
      <c r="I29" s="88" t="s">
        <v>35</v>
      </c>
      <c r="J29" s="88" t="s">
        <v>8</v>
      </c>
      <c r="K29" s="88" t="s">
        <v>36</v>
      </c>
      <c r="L29" s="88" t="s">
        <v>37</v>
      </c>
      <c r="M29" s="88" t="s">
        <v>38</v>
      </c>
      <c r="N29" s="88" t="s">
        <v>39</v>
      </c>
      <c r="O29" s="88" t="s">
        <v>40</v>
      </c>
      <c r="P29" s="462"/>
      <c r="Q29" s="451"/>
      <c r="R29" s="451"/>
      <c r="S29" s="451"/>
      <c r="T29" s="451"/>
      <c r="U29" s="451"/>
      <c r="V29" s="451"/>
      <c r="W29" s="451"/>
      <c r="X29" s="451"/>
      <c r="Y29" s="451"/>
      <c r="Z29" s="451"/>
      <c r="AA29" s="451"/>
      <c r="AB29" s="451"/>
      <c r="AC29" s="451"/>
      <c r="AD29" s="453"/>
    </row>
    <row r="30" spans="1:33" ht="45" customHeight="1" thickBot="1" x14ac:dyDescent="0.3">
      <c r="A30" s="85" t="s">
        <v>124</v>
      </c>
      <c r="B30" s="572"/>
      <c r="C30" s="573"/>
      <c r="D30" s="89"/>
      <c r="E30" s="89"/>
      <c r="F30" s="89"/>
      <c r="G30" s="89"/>
      <c r="H30" s="89"/>
      <c r="I30" s="89"/>
      <c r="J30" s="89"/>
      <c r="K30" s="89"/>
      <c r="L30" s="89"/>
      <c r="M30" s="89"/>
      <c r="N30" s="89"/>
      <c r="O30" s="89"/>
      <c r="P30" s="86">
        <f>SUM(D30:O30)</f>
        <v>0</v>
      </c>
      <c r="Q30" s="446" t="s">
        <v>125</v>
      </c>
      <c r="R30" s="446"/>
      <c r="S30" s="446"/>
      <c r="T30" s="446"/>
      <c r="U30" s="446"/>
      <c r="V30" s="446"/>
      <c r="W30" s="446"/>
      <c r="X30" s="446"/>
      <c r="Y30" s="446"/>
      <c r="Z30" s="446"/>
      <c r="AA30" s="446"/>
      <c r="AB30" s="446"/>
      <c r="AC30" s="446"/>
      <c r="AD30" s="447"/>
    </row>
    <row r="31" spans="1:33" x14ac:dyDescent="0.25">
      <c r="A31" s="448" t="s">
        <v>55</v>
      </c>
      <c r="B31" s="449"/>
      <c r="C31" s="449"/>
      <c r="D31" s="449"/>
      <c r="E31" s="449"/>
      <c r="F31" s="449"/>
      <c r="G31" s="449"/>
      <c r="H31" s="449"/>
      <c r="I31" s="449"/>
      <c r="J31" s="449"/>
      <c r="K31" s="449"/>
      <c r="L31" s="449"/>
      <c r="M31" s="449"/>
      <c r="N31" s="449"/>
      <c r="O31" s="449"/>
      <c r="P31" s="449"/>
      <c r="Q31" s="449"/>
      <c r="R31" s="449"/>
      <c r="S31" s="449"/>
      <c r="T31" s="449"/>
      <c r="U31" s="449"/>
      <c r="V31" s="449"/>
      <c r="W31" s="449"/>
      <c r="X31" s="449"/>
      <c r="Y31" s="449"/>
      <c r="Z31" s="449"/>
      <c r="AA31" s="449"/>
      <c r="AB31" s="449"/>
      <c r="AC31" s="449"/>
      <c r="AD31" s="450"/>
    </row>
    <row r="32" spans="1:33" x14ac:dyDescent="0.25">
      <c r="A32" s="416" t="s">
        <v>56</v>
      </c>
      <c r="B32" s="451" t="s">
        <v>57</v>
      </c>
      <c r="C32" s="451" t="s">
        <v>51</v>
      </c>
      <c r="D32" s="451" t="s">
        <v>58</v>
      </c>
      <c r="E32" s="451"/>
      <c r="F32" s="451"/>
      <c r="G32" s="451"/>
      <c r="H32" s="451"/>
      <c r="I32" s="451"/>
      <c r="J32" s="451"/>
      <c r="K32" s="451"/>
      <c r="L32" s="451"/>
      <c r="M32" s="451"/>
      <c r="N32" s="451"/>
      <c r="O32" s="451"/>
      <c r="P32" s="451"/>
      <c r="Q32" s="451" t="s">
        <v>59</v>
      </c>
      <c r="R32" s="451"/>
      <c r="S32" s="451"/>
      <c r="T32" s="451"/>
      <c r="U32" s="451"/>
      <c r="V32" s="451"/>
      <c r="W32" s="451"/>
      <c r="X32" s="451"/>
      <c r="Y32" s="451"/>
      <c r="Z32" s="451"/>
      <c r="AA32" s="451"/>
      <c r="AB32" s="451"/>
      <c r="AC32" s="451"/>
      <c r="AD32" s="453"/>
    </row>
    <row r="33" spans="1:41" x14ac:dyDescent="0.25">
      <c r="A33" s="416"/>
      <c r="B33" s="451"/>
      <c r="C33" s="452"/>
      <c r="D33" s="88" t="s">
        <v>30</v>
      </c>
      <c r="E33" s="88" t="s">
        <v>31</v>
      </c>
      <c r="F33" s="88" t="s">
        <v>32</v>
      </c>
      <c r="G33" s="88" t="s">
        <v>33</v>
      </c>
      <c r="H33" s="88" t="s">
        <v>34</v>
      </c>
      <c r="I33" s="88" t="s">
        <v>35</v>
      </c>
      <c r="J33" s="88" t="s">
        <v>8</v>
      </c>
      <c r="K33" s="88" t="s">
        <v>36</v>
      </c>
      <c r="L33" s="88" t="s">
        <v>37</v>
      </c>
      <c r="M33" s="88" t="s">
        <v>38</v>
      </c>
      <c r="N33" s="88" t="s">
        <v>39</v>
      </c>
      <c r="O33" s="88" t="s">
        <v>40</v>
      </c>
      <c r="P33" s="88" t="s">
        <v>41</v>
      </c>
      <c r="Q33" s="454" t="s">
        <v>60</v>
      </c>
      <c r="R33" s="455"/>
      <c r="S33" s="455"/>
      <c r="T33" s="455"/>
      <c r="U33" s="455"/>
      <c r="V33" s="456"/>
      <c r="W33" s="454" t="s">
        <v>61</v>
      </c>
      <c r="X33" s="455"/>
      <c r="Y33" s="455"/>
      <c r="Z33" s="456"/>
      <c r="AA33" s="454" t="s">
        <v>62</v>
      </c>
      <c r="AB33" s="455"/>
      <c r="AC33" s="455"/>
      <c r="AD33" s="457"/>
    </row>
    <row r="34" spans="1:41" ht="69.75" customHeight="1" x14ac:dyDescent="0.25">
      <c r="A34" s="643" t="s">
        <v>124</v>
      </c>
      <c r="B34" s="428">
        <f>SUM(B38+B40+B42)</f>
        <v>0.06</v>
      </c>
      <c r="C34" s="90" t="s">
        <v>63</v>
      </c>
      <c r="D34" s="206">
        <f>D67</f>
        <v>9.9999999999999985E-3</v>
      </c>
      <c r="E34" s="206">
        <f t="shared" ref="E34:O34" si="2">E67</f>
        <v>3.4999999999999989E-2</v>
      </c>
      <c r="F34" s="206">
        <f t="shared" si="2"/>
        <v>5.4999999999999986E-2</v>
      </c>
      <c r="G34" s="206">
        <f t="shared" si="2"/>
        <v>3.4999999999999996E-2</v>
      </c>
      <c r="H34" s="206">
        <f t="shared" si="2"/>
        <v>2.9999999999999992E-2</v>
      </c>
      <c r="I34" s="206">
        <f t="shared" si="2"/>
        <v>7.9999999999999984E-3</v>
      </c>
      <c r="J34" s="206">
        <f t="shared" si="2"/>
        <v>1.2999999999999999E-2</v>
      </c>
      <c r="K34" s="206">
        <f t="shared" si="2"/>
        <v>1.3999999999999997E-2</v>
      </c>
      <c r="L34" s="206">
        <f t="shared" si="2"/>
        <v>1.4999999999999999E-2</v>
      </c>
      <c r="M34" s="206">
        <f t="shared" si="2"/>
        <v>2.5000000000000001E-2</v>
      </c>
      <c r="N34" s="206">
        <f t="shared" si="2"/>
        <v>2.5000000000000001E-2</v>
      </c>
      <c r="O34" s="206">
        <f t="shared" si="2"/>
        <v>3.4999999999999996E-2</v>
      </c>
      <c r="P34" s="207">
        <f>SUM(D34:O34)</f>
        <v>0.29999999999999993</v>
      </c>
      <c r="Q34" s="645" t="s">
        <v>569</v>
      </c>
      <c r="R34" s="646"/>
      <c r="S34" s="646"/>
      <c r="T34" s="646"/>
      <c r="U34" s="646"/>
      <c r="V34" s="647"/>
      <c r="W34" s="638" t="s">
        <v>570</v>
      </c>
      <c r="X34" s="639"/>
      <c r="Y34" s="639"/>
      <c r="Z34" s="639"/>
      <c r="AA34" s="638" t="s">
        <v>126</v>
      </c>
      <c r="AB34" s="639"/>
      <c r="AC34" s="639"/>
      <c r="AD34" s="639"/>
      <c r="AG34" s="218"/>
      <c r="AH34" s="218"/>
      <c r="AI34" s="218"/>
      <c r="AJ34" s="218"/>
      <c r="AK34" s="218"/>
      <c r="AL34" s="218"/>
      <c r="AM34" s="218"/>
      <c r="AN34" s="218"/>
      <c r="AO34" s="218"/>
    </row>
    <row r="35" spans="1:41" ht="69.75" customHeight="1" thickBot="1" x14ac:dyDescent="0.3">
      <c r="A35" s="644"/>
      <c r="B35" s="429"/>
      <c r="C35" s="91" t="s">
        <v>64</v>
      </c>
      <c r="D35" s="210">
        <f>D64</f>
        <v>9.9999999999999985E-3</v>
      </c>
      <c r="E35" s="210">
        <f t="shared" ref="E35:O35" si="3">E64</f>
        <v>3.4999999999999989E-2</v>
      </c>
      <c r="F35" s="210">
        <f t="shared" si="3"/>
        <v>5.4999999999999986E-2</v>
      </c>
      <c r="G35" s="210">
        <f t="shared" si="3"/>
        <v>3.4999999999999996E-2</v>
      </c>
      <c r="H35" s="210">
        <f t="shared" si="3"/>
        <v>1.9999999999999997E-2</v>
      </c>
      <c r="I35" s="210">
        <f t="shared" si="3"/>
        <v>7.9999999999999984E-3</v>
      </c>
      <c r="J35" s="210">
        <f t="shared" si="3"/>
        <v>1.2999999999999999E-2</v>
      </c>
      <c r="K35" s="210">
        <f t="shared" si="3"/>
        <v>8.9999999999999976E-3</v>
      </c>
      <c r="L35" s="210">
        <f t="shared" si="3"/>
        <v>2.7999999999999994E-2</v>
      </c>
      <c r="M35" s="210">
        <f t="shared" si="3"/>
        <v>2.7000000000000003E-2</v>
      </c>
      <c r="N35" s="210">
        <f t="shared" si="3"/>
        <v>0.02</v>
      </c>
      <c r="O35" s="210">
        <f t="shared" si="3"/>
        <v>0.04</v>
      </c>
      <c r="P35" s="208">
        <f>SUM(D35:O35)</f>
        <v>0.3</v>
      </c>
      <c r="Q35" s="648"/>
      <c r="R35" s="649"/>
      <c r="S35" s="649"/>
      <c r="T35" s="649"/>
      <c r="U35" s="649"/>
      <c r="V35" s="650"/>
      <c r="W35" s="641"/>
      <c r="X35" s="641"/>
      <c r="Y35" s="641"/>
      <c r="Z35" s="641"/>
      <c r="AA35" s="641"/>
      <c r="AB35" s="641"/>
      <c r="AC35" s="641"/>
      <c r="AD35" s="641"/>
      <c r="AE35" s="219"/>
      <c r="AG35" s="218"/>
      <c r="AH35" s="218"/>
      <c r="AI35" s="218"/>
      <c r="AJ35" s="218"/>
      <c r="AK35" s="218"/>
      <c r="AL35" s="218"/>
      <c r="AM35" s="218"/>
      <c r="AN35" s="218"/>
      <c r="AO35" s="218"/>
    </row>
    <row r="36" spans="1:41" ht="15" customHeight="1" x14ac:dyDescent="0.25">
      <c r="A36" s="448" t="s">
        <v>65</v>
      </c>
      <c r="B36" s="417" t="s">
        <v>66</v>
      </c>
      <c r="C36" s="419" t="s">
        <v>67</v>
      </c>
      <c r="D36" s="419"/>
      <c r="E36" s="419"/>
      <c r="F36" s="419"/>
      <c r="G36" s="419"/>
      <c r="H36" s="419"/>
      <c r="I36" s="419"/>
      <c r="J36" s="419"/>
      <c r="K36" s="419"/>
      <c r="L36" s="419"/>
      <c r="M36" s="419"/>
      <c r="N36" s="419"/>
      <c r="O36" s="419"/>
      <c r="P36" s="419"/>
      <c r="Q36" s="420" t="s">
        <v>68</v>
      </c>
      <c r="R36" s="421"/>
      <c r="S36" s="421"/>
      <c r="T36" s="421"/>
      <c r="U36" s="421"/>
      <c r="V36" s="421"/>
      <c r="W36" s="421"/>
      <c r="X36" s="421"/>
      <c r="Y36" s="421"/>
      <c r="Z36" s="421"/>
      <c r="AA36" s="421"/>
      <c r="AB36" s="421"/>
      <c r="AC36" s="421"/>
      <c r="AD36" s="422"/>
    </row>
    <row r="37" spans="1:41" ht="28.5" x14ac:dyDescent="0.25">
      <c r="A37" s="571"/>
      <c r="B37" s="418"/>
      <c r="C37" s="88" t="s">
        <v>69</v>
      </c>
      <c r="D37" s="88" t="s">
        <v>70</v>
      </c>
      <c r="E37" s="88" t="s">
        <v>71</v>
      </c>
      <c r="F37" s="88" t="s">
        <v>72</v>
      </c>
      <c r="G37" s="88" t="s">
        <v>73</v>
      </c>
      <c r="H37" s="88" t="s">
        <v>74</v>
      </c>
      <c r="I37" s="88" t="s">
        <v>75</v>
      </c>
      <c r="J37" s="88" t="s">
        <v>76</v>
      </c>
      <c r="K37" s="88" t="s">
        <v>77</v>
      </c>
      <c r="L37" s="88" t="s">
        <v>78</v>
      </c>
      <c r="M37" s="88" t="s">
        <v>79</v>
      </c>
      <c r="N37" s="88" t="s">
        <v>80</v>
      </c>
      <c r="O37" s="88" t="s">
        <v>81</v>
      </c>
      <c r="P37" s="88" t="s">
        <v>82</v>
      </c>
      <c r="Q37" s="423" t="s">
        <v>83</v>
      </c>
      <c r="R37" s="424"/>
      <c r="S37" s="424"/>
      <c r="T37" s="424"/>
      <c r="U37" s="424"/>
      <c r="V37" s="424"/>
      <c r="W37" s="424"/>
      <c r="X37" s="424"/>
      <c r="Y37" s="424"/>
      <c r="Z37" s="424"/>
      <c r="AA37" s="424"/>
      <c r="AB37" s="424"/>
      <c r="AC37" s="424"/>
      <c r="AD37" s="425"/>
    </row>
    <row r="38" spans="1:41" ht="151.5" customHeight="1" x14ac:dyDescent="0.25">
      <c r="A38" s="396" t="s">
        <v>127</v>
      </c>
      <c r="B38" s="594">
        <v>0.02</v>
      </c>
      <c r="C38" s="90" t="s">
        <v>63</v>
      </c>
      <c r="D38" s="103">
        <v>0</v>
      </c>
      <c r="E38" s="103">
        <v>0.15</v>
      </c>
      <c r="F38" s="103">
        <v>0.25</v>
      </c>
      <c r="G38" s="103">
        <v>0.25</v>
      </c>
      <c r="H38" s="103">
        <v>0.2</v>
      </c>
      <c r="I38" s="291">
        <v>0.03</v>
      </c>
      <c r="J38" s="291">
        <v>0.03</v>
      </c>
      <c r="K38" s="291">
        <v>0.04</v>
      </c>
      <c r="L38" s="291">
        <v>0.05</v>
      </c>
      <c r="M38" s="291">
        <v>0</v>
      </c>
      <c r="N38" s="291">
        <v>0</v>
      </c>
      <c r="O38" s="291">
        <v>0</v>
      </c>
      <c r="P38" s="96">
        <f t="shared" ref="P38:P43" si="4">SUM(D38:O38)</f>
        <v>1.0000000000000002</v>
      </c>
      <c r="Q38" s="570" t="s">
        <v>536</v>
      </c>
      <c r="R38" s="548"/>
      <c r="S38" s="548"/>
      <c r="T38" s="548"/>
      <c r="U38" s="548"/>
      <c r="V38" s="548"/>
      <c r="W38" s="548"/>
      <c r="X38" s="548"/>
      <c r="Y38" s="548"/>
      <c r="Z38" s="548"/>
      <c r="AA38" s="548"/>
      <c r="AB38" s="548"/>
      <c r="AC38" s="548"/>
      <c r="AD38" s="549"/>
    </row>
    <row r="39" spans="1:41" ht="151.5" customHeight="1" x14ac:dyDescent="0.25">
      <c r="A39" s="380"/>
      <c r="B39" s="563"/>
      <c r="C39" s="99" t="s">
        <v>64</v>
      </c>
      <c r="D39" s="100">
        <v>0</v>
      </c>
      <c r="E39" s="100">
        <v>0.15</v>
      </c>
      <c r="F39" s="100">
        <v>0.25</v>
      </c>
      <c r="G39" s="100">
        <v>0.25</v>
      </c>
      <c r="H39" s="100">
        <v>0.1</v>
      </c>
      <c r="I39" s="100">
        <v>0.03</v>
      </c>
      <c r="J39" s="100">
        <v>0.03</v>
      </c>
      <c r="K39" s="100">
        <v>0.04</v>
      </c>
      <c r="L39" s="100">
        <v>0.15</v>
      </c>
      <c r="M39" s="100">
        <v>0</v>
      </c>
      <c r="N39" s="100">
        <v>0</v>
      </c>
      <c r="O39" s="100">
        <v>0</v>
      </c>
      <c r="P39" s="101">
        <f t="shared" si="4"/>
        <v>1</v>
      </c>
      <c r="Q39" s="550"/>
      <c r="R39" s="551"/>
      <c r="S39" s="551"/>
      <c r="T39" s="551"/>
      <c r="U39" s="551"/>
      <c r="V39" s="551"/>
      <c r="W39" s="551"/>
      <c r="X39" s="551"/>
      <c r="Y39" s="551"/>
      <c r="Z39" s="551"/>
      <c r="AA39" s="551"/>
      <c r="AB39" s="551"/>
      <c r="AC39" s="551"/>
      <c r="AD39" s="552"/>
    </row>
    <row r="40" spans="1:41" ht="84" customHeight="1" x14ac:dyDescent="0.25">
      <c r="A40" s="380" t="s">
        <v>128</v>
      </c>
      <c r="B40" s="637">
        <v>0.02</v>
      </c>
      <c r="C40" s="102" t="s">
        <v>63</v>
      </c>
      <c r="D40" s="103">
        <v>0</v>
      </c>
      <c r="E40" s="103">
        <v>0</v>
      </c>
      <c r="F40" s="103">
        <v>0</v>
      </c>
      <c r="G40" s="103">
        <v>0</v>
      </c>
      <c r="H40" s="103">
        <v>0</v>
      </c>
      <c r="I40" s="291">
        <v>0</v>
      </c>
      <c r="J40" s="291">
        <v>0.05</v>
      </c>
      <c r="K40" s="291">
        <v>0.05</v>
      </c>
      <c r="L40" s="291">
        <v>0.05</v>
      </c>
      <c r="M40" s="291">
        <v>0.25</v>
      </c>
      <c r="N40" s="291">
        <v>0.25</v>
      </c>
      <c r="O40" s="291">
        <v>0.35</v>
      </c>
      <c r="P40" s="101">
        <f t="shared" si="4"/>
        <v>1</v>
      </c>
      <c r="Q40" s="570" t="s">
        <v>568</v>
      </c>
      <c r="R40" s="548"/>
      <c r="S40" s="548"/>
      <c r="T40" s="548"/>
      <c r="U40" s="548"/>
      <c r="V40" s="548"/>
      <c r="W40" s="548"/>
      <c r="X40" s="548"/>
      <c r="Y40" s="548"/>
      <c r="Z40" s="548"/>
      <c r="AA40" s="548"/>
      <c r="AB40" s="548"/>
      <c r="AC40" s="548"/>
      <c r="AD40" s="549"/>
    </row>
    <row r="41" spans="1:41" ht="84" customHeight="1" x14ac:dyDescent="0.25">
      <c r="A41" s="380"/>
      <c r="B41" s="563"/>
      <c r="C41" s="99" t="s">
        <v>64</v>
      </c>
      <c r="D41" s="100">
        <v>0</v>
      </c>
      <c r="E41" s="100">
        <v>0</v>
      </c>
      <c r="F41" s="100">
        <v>0</v>
      </c>
      <c r="G41" s="100">
        <v>0</v>
      </c>
      <c r="H41" s="100">
        <v>0</v>
      </c>
      <c r="I41" s="100">
        <v>0</v>
      </c>
      <c r="J41" s="100">
        <v>0.05</v>
      </c>
      <c r="K41" s="100">
        <v>0</v>
      </c>
      <c r="L41" s="104">
        <v>0.1</v>
      </c>
      <c r="M41" s="104">
        <v>0.25</v>
      </c>
      <c r="N41" s="104">
        <v>0.2</v>
      </c>
      <c r="O41" s="104">
        <v>0.4</v>
      </c>
      <c r="P41" s="101">
        <f t="shared" si="4"/>
        <v>1</v>
      </c>
      <c r="Q41" s="550"/>
      <c r="R41" s="551"/>
      <c r="S41" s="551"/>
      <c r="T41" s="551"/>
      <c r="U41" s="551"/>
      <c r="V41" s="551"/>
      <c r="W41" s="551"/>
      <c r="X41" s="551"/>
      <c r="Y41" s="551"/>
      <c r="Z41" s="551"/>
      <c r="AA41" s="551"/>
      <c r="AB41" s="551"/>
      <c r="AC41" s="551"/>
      <c r="AD41" s="552"/>
    </row>
    <row r="42" spans="1:41" ht="112.5" customHeight="1" x14ac:dyDescent="0.25">
      <c r="A42" s="555" t="s">
        <v>129</v>
      </c>
      <c r="B42" s="637">
        <v>0.02</v>
      </c>
      <c r="C42" s="102" t="s">
        <v>63</v>
      </c>
      <c r="D42" s="103">
        <v>0.1</v>
      </c>
      <c r="E42" s="103">
        <v>0.2</v>
      </c>
      <c r="F42" s="103">
        <v>0.3</v>
      </c>
      <c r="G42" s="103">
        <v>0.1</v>
      </c>
      <c r="H42" s="103">
        <v>0.1</v>
      </c>
      <c r="I42" s="291">
        <v>0.05</v>
      </c>
      <c r="J42" s="291">
        <v>0.05</v>
      </c>
      <c r="K42" s="291">
        <v>0.05</v>
      </c>
      <c r="L42" s="291">
        <v>0.05</v>
      </c>
      <c r="M42" s="291">
        <v>0</v>
      </c>
      <c r="N42" s="291">
        <v>0</v>
      </c>
      <c r="O42" s="291">
        <v>0</v>
      </c>
      <c r="P42" s="101">
        <f t="shared" si="4"/>
        <v>1.0000000000000002</v>
      </c>
      <c r="Q42" s="638" t="s">
        <v>541</v>
      </c>
      <c r="R42" s="639"/>
      <c r="S42" s="639"/>
      <c r="T42" s="639"/>
      <c r="U42" s="639"/>
      <c r="V42" s="639"/>
      <c r="W42" s="639"/>
      <c r="X42" s="639"/>
      <c r="Y42" s="639"/>
      <c r="Z42" s="639"/>
      <c r="AA42" s="639"/>
      <c r="AB42" s="639"/>
      <c r="AC42" s="639"/>
      <c r="AD42" s="640"/>
    </row>
    <row r="43" spans="1:41" ht="376.5" customHeight="1" thickBot="1" x14ac:dyDescent="0.3">
      <c r="A43" s="396"/>
      <c r="B43" s="563"/>
      <c r="C43" s="99" t="s">
        <v>64</v>
      </c>
      <c r="D43" s="100">
        <v>0.1</v>
      </c>
      <c r="E43" s="100">
        <v>0.2</v>
      </c>
      <c r="F43" s="100">
        <v>0.3</v>
      </c>
      <c r="G43" s="100">
        <v>0.1</v>
      </c>
      <c r="H43" s="100">
        <v>0.1</v>
      </c>
      <c r="I43" s="100">
        <v>0.05</v>
      </c>
      <c r="J43" s="100">
        <v>0.05</v>
      </c>
      <c r="K43" s="100">
        <v>0.05</v>
      </c>
      <c r="L43" s="104">
        <v>0.03</v>
      </c>
      <c r="M43" s="104">
        <v>0.02</v>
      </c>
      <c r="N43" s="104">
        <v>0</v>
      </c>
      <c r="O43" s="104">
        <v>0</v>
      </c>
      <c r="P43" s="101">
        <f t="shared" si="4"/>
        <v>1.0000000000000002</v>
      </c>
      <c r="Q43" s="641"/>
      <c r="R43" s="641"/>
      <c r="S43" s="641"/>
      <c r="T43" s="641"/>
      <c r="U43" s="641"/>
      <c r="V43" s="641"/>
      <c r="W43" s="641"/>
      <c r="X43" s="641"/>
      <c r="Y43" s="641"/>
      <c r="Z43" s="641"/>
      <c r="AA43" s="641"/>
      <c r="AB43" s="641"/>
      <c r="AC43" s="641"/>
      <c r="AD43" s="642"/>
    </row>
    <row r="55" spans="1:51" s="250" customFormat="1" ht="21.75" customHeight="1" x14ac:dyDescent="0.25">
      <c r="A55" s="382" t="s">
        <v>92</v>
      </c>
      <c r="B55" s="382" t="s">
        <v>66</v>
      </c>
      <c r="C55" s="370" t="s">
        <v>67</v>
      </c>
      <c r="D55" s="371"/>
      <c r="E55" s="371"/>
      <c r="F55" s="371"/>
      <c r="G55" s="371"/>
      <c r="H55" s="371"/>
      <c r="I55" s="371"/>
      <c r="J55" s="371"/>
      <c r="K55" s="371"/>
      <c r="L55" s="371"/>
      <c r="M55" s="371"/>
      <c r="N55" s="371"/>
      <c r="O55" s="371"/>
      <c r="P55" s="372"/>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row>
    <row r="56" spans="1:51" s="250" customFormat="1" ht="21.75" customHeight="1" x14ac:dyDescent="0.25">
      <c r="A56" s="383"/>
      <c r="B56" s="383"/>
      <c r="C56" s="190" t="s">
        <v>69</v>
      </c>
      <c r="D56" s="190" t="s">
        <v>70</v>
      </c>
      <c r="E56" s="190" t="s">
        <v>71</v>
      </c>
      <c r="F56" s="190" t="s">
        <v>72</v>
      </c>
      <c r="G56" s="190" t="s">
        <v>73</v>
      </c>
      <c r="H56" s="190" t="s">
        <v>74</v>
      </c>
      <c r="I56" s="190" t="s">
        <v>75</v>
      </c>
      <c r="J56" s="190" t="s">
        <v>76</v>
      </c>
      <c r="K56" s="190" t="s">
        <v>77</v>
      </c>
      <c r="L56" s="190" t="s">
        <v>78</v>
      </c>
      <c r="M56" s="190" t="s">
        <v>79</v>
      </c>
      <c r="N56" s="190" t="s">
        <v>80</v>
      </c>
      <c r="O56" s="190" t="s">
        <v>81</v>
      </c>
      <c r="P56" s="190" t="s">
        <v>82</v>
      </c>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row>
    <row r="57" spans="1:51" s="250" customFormat="1" ht="12.75" customHeight="1" x14ac:dyDescent="0.25">
      <c r="A57" s="373" t="str">
        <f>A38</f>
        <v>26. Diseñar y socializar la estrategia de fortalecimiento de capacidades para el ejercicio del derecho a la participación de las mujeres en el Distrito.</v>
      </c>
      <c r="B57" s="375">
        <f>B38</f>
        <v>0.02</v>
      </c>
      <c r="C57" s="191" t="s">
        <v>63</v>
      </c>
      <c r="D57" s="222">
        <f t="shared" ref="D57:O57" si="5">D38*$B$38/$P$38</f>
        <v>0</v>
      </c>
      <c r="E57" s="222">
        <f t="shared" si="5"/>
        <v>2.9999999999999992E-3</v>
      </c>
      <c r="F57" s="222">
        <f t="shared" si="5"/>
        <v>4.9999999999999992E-3</v>
      </c>
      <c r="G57" s="222">
        <f t="shared" si="5"/>
        <v>4.9999999999999992E-3</v>
      </c>
      <c r="H57" s="222">
        <f t="shared" si="5"/>
        <v>3.9999999999999992E-3</v>
      </c>
      <c r="I57" s="222">
        <f t="shared" si="5"/>
        <v>5.9999999999999984E-4</v>
      </c>
      <c r="J57" s="222">
        <f t="shared" si="5"/>
        <v>5.9999999999999984E-4</v>
      </c>
      <c r="K57" s="222">
        <f t="shared" si="5"/>
        <v>7.9999999999999982E-4</v>
      </c>
      <c r="L57" s="222">
        <f t="shared" si="5"/>
        <v>9.999999999999998E-4</v>
      </c>
      <c r="M57" s="222">
        <f t="shared" si="5"/>
        <v>0</v>
      </c>
      <c r="N57" s="222">
        <f t="shared" si="5"/>
        <v>0</v>
      </c>
      <c r="O57" s="222">
        <f t="shared" si="5"/>
        <v>0</v>
      </c>
      <c r="P57" s="223">
        <f t="shared" ref="P57:P60" si="6">SUM(D57:O57)</f>
        <v>1.9999999999999997E-2</v>
      </c>
      <c r="Q57" s="108">
        <v>0.05</v>
      </c>
      <c r="R57" s="224">
        <f>+P57-Q57</f>
        <v>-3.0000000000000006E-2</v>
      </c>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05"/>
      <c r="AR57" s="205"/>
      <c r="AS57" s="205"/>
      <c r="AT57" s="205"/>
      <c r="AU57" s="205"/>
      <c r="AV57" s="205"/>
      <c r="AW57" s="205"/>
      <c r="AX57" s="205"/>
      <c r="AY57" s="205"/>
    </row>
    <row r="58" spans="1:51" s="250" customFormat="1" ht="12.75" customHeight="1" x14ac:dyDescent="0.25">
      <c r="A58" s="374"/>
      <c r="B58" s="376"/>
      <c r="C58" s="196" t="s">
        <v>64</v>
      </c>
      <c r="D58" s="226">
        <f t="shared" ref="D58:O58" si="7">D39*$B$38/$P$38</f>
        <v>0</v>
      </c>
      <c r="E58" s="226">
        <f t="shared" si="7"/>
        <v>2.9999999999999992E-3</v>
      </c>
      <c r="F58" s="226">
        <f t="shared" si="7"/>
        <v>4.9999999999999992E-3</v>
      </c>
      <c r="G58" s="226">
        <f t="shared" si="7"/>
        <v>4.9999999999999992E-3</v>
      </c>
      <c r="H58" s="226">
        <f t="shared" si="7"/>
        <v>1.9999999999999996E-3</v>
      </c>
      <c r="I58" s="226">
        <f t="shared" si="7"/>
        <v>5.9999999999999984E-4</v>
      </c>
      <c r="J58" s="226">
        <f t="shared" si="7"/>
        <v>5.9999999999999984E-4</v>
      </c>
      <c r="K58" s="226">
        <f t="shared" si="7"/>
        <v>7.9999999999999982E-4</v>
      </c>
      <c r="L58" s="226">
        <f t="shared" si="7"/>
        <v>2.9999999999999992E-3</v>
      </c>
      <c r="M58" s="226">
        <f t="shared" si="7"/>
        <v>0</v>
      </c>
      <c r="N58" s="226">
        <f t="shared" si="7"/>
        <v>0</v>
      </c>
      <c r="O58" s="226">
        <f t="shared" si="7"/>
        <v>0</v>
      </c>
      <c r="P58" s="227">
        <f t="shared" si="6"/>
        <v>1.9999999999999997E-2</v>
      </c>
      <c r="Q58" s="228">
        <f>+P58</f>
        <v>1.9999999999999997E-2</v>
      </c>
      <c r="R58" s="224">
        <f t="shared" ref="R58:R62" si="8">+P58-Q58</f>
        <v>0</v>
      </c>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05"/>
      <c r="AR58" s="205"/>
      <c r="AS58" s="205"/>
      <c r="AT58" s="205"/>
      <c r="AU58" s="205"/>
      <c r="AV58" s="205"/>
      <c r="AW58" s="205"/>
      <c r="AX58" s="205"/>
      <c r="AY58" s="205"/>
    </row>
    <row r="59" spans="1:51" s="250" customFormat="1" ht="12.75" customHeight="1" x14ac:dyDescent="0.25">
      <c r="A59" s="373" t="str">
        <f>A40</f>
        <v>27. Realizar una implementación piloto de la estrategia de fortalecimiento de capacidades para el ejercicio del derecho a la participación de las mujeres en el Distrito.</v>
      </c>
      <c r="B59" s="378">
        <f>B40</f>
        <v>0.02</v>
      </c>
      <c r="C59" s="191" t="s">
        <v>63</v>
      </c>
      <c r="D59" s="222">
        <f t="shared" ref="D59:O59" si="9">D40*$B$40/$P$40</f>
        <v>0</v>
      </c>
      <c r="E59" s="222">
        <f t="shared" si="9"/>
        <v>0</v>
      </c>
      <c r="F59" s="222">
        <f t="shared" si="9"/>
        <v>0</v>
      </c>
      <c r="G59" s="222">
        <f t="shared" si="9"/>
        <v>0</v>
      </c>
      <c r="H59" s="222">
        <f t="shared" si="9"/>
        <v>0</v>
      </c>
      <c r="I59" s="222">
        <f t="shared" si="9"/>
        <v>0</v>
      </c>
      <c r="J59" s="222">
        <f t="shared" si="9"/>
        <v>1E-3</v>
      </c>
      <c r="K59" s="222">
        <f t="shared" si="9"/>
        <v>1E-3</v>
      </c>
      <c r="L59" s="222">
        <f t="shared" si="9"/>
        <v>1E-3</v>
      </c>
      <c r="M59" s="222">
        <f t="shared" si="9"/>
        <v>5.0000000000000001E-3</v>
      </c>
      <c r="N59" s="222">
        <f t="shared" si="9"/>
        <v>5.0000000000000001E-3</v>
      </c>
      <c r="O59" s="222">
        <f t="shared" si="9"/>
        <v>6.9999999999999993E-3</v>
      </c>
      <c r="P59" s="223">
        <f t="shared" si="6"/>
        <v>0.02</v>
      </c>
      <c r="Q59" s="108">
        <v>2.5000000000000001E-2</v>
      </c>
      <c r="R59" s="224">
        <f t="shared" si="8"/>
        <v>-5.000000000000001E-3</v>
      </c>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5"/>
      <c r="AP59" s="225"/>
      <c r="AQ59" s="205"/>
      <c r="AR59" s="205"/>
      <c r="AS59" s="205"/>
      <c r="AT59" s="205"/>
      <c r="AU59" s="205"/>
      <c r="AV59" s="205"/>
      <c r="AW59" s="205"/>
      <c r="AX59" s="205"/>
      <c r="AY59" s="205"/>
    </row>
    <row r="60" spans="1:51" s="250" customFormat="1" ht="12.75" customHeight="1" x14ac:dyDescent="0.25">
      <c r="A60" s="377"/>
      <c r="B60" s="379"/>
      <c r="C60" s="196" t="s">
        <v>64</v>
      </c>
      <c r="D60" s="226">
        <f t="shared" ref="D60:O60" si="10">D41*$B$40/$P$40</f>
        <v>0</v>
      </c>
      <c r="E60" s="226">
        <f t="shared" si="10"/>
        <v>0</v>
      </c>
      <c r="F60" s="226">
        <f t="shared" si="10"/>
        <v>0</v>
      </c>
      <c r="G60" s="226">
        <f t="shared" si="10"/>
        <v>0</v>
      </c>
      <c r="H60" s="226">
        <f t="shared" si="10"/>
        <v>0</v>
      </c>
      <c r="I60" s="226">
        <f t="shared" si="10"/>
        <v>0</v>
      </c>
      <c r="J60" s="226">
        <f t="shared" si="10"/>
        <v>1E-3</v>
      </c>
      <c r="K60" s="226">
        <f t="shared" si="10"/>
        <v>0</v>
      </c>
      <c r="L60" s="226">
        <f t="shared" si="10"/>
        <v>2E-3</v>
      </c>
      <c r="M60" s="226">
        <f t="shared" si="10"/>
        <v>5.0000000000000001E-3</v>
      </c>
      <c r="N60" s="226">
        <f t="shared" si="10"/>
        <v>4.0000000000000001E-3</v>
      </c>
      <c r="O60" s="226">
        <f t="shared" si="10"/>
        <v>8.0000000000000002E-3</v>
      </c>
      <c r="P60" s="227">
        <f t="shared" si="6"/>
        <v>0.02</v>
      </c>
      <c r="Q60" s="228">
        <f>+P60</f>
        <v>0.02</v>
      </c>
      <c r="R60" s="224">
        <f t="shared" si="8"/>
        <v>0</v>
      </c>
      <c r="S60" s="225"/>
      <c r="T60" s="225"/>
      <c r="U60" s="225"/>
      <c r="V60" s="225"/>
      <c r="W60" s="225"/>
      <c r="X60" s="225"/>
      <c r="Y60" s="225"/>
      <c r="Z60" s="225"/>
      <c r="AA60" s="225"/>
      <c r="AB60" s="225"/>
      <c r="AC60" s="225"/>
      <c r="AD60" s="225"/>
      <c r="AE60" s="225"/>
      <c r="AF60" s="225"/>
      <c r="AG60" s="225"/>
      <c r="AH60" s="225"/>
      <c r="AI60" s="225"/>
      <c r="AJ60" s="225"/>
      <c r="AK60" s="225"/>
      <c r="AL60" s="225"/>
      <c r="AM60" s="225"/>
      <c r="AN60" s="225"/>
      <c r="AO60" s="225"/>
      <c r="AP60" s="225"/>
      <c r="AQ60" s="205"/>
      <c r="AR60" s="205"/>
      <c r="AS60" s="205"/>
      <c r="AT60" s="205"/>
      <c r="AU60" s="205"/>
      <c r="AV60" s="205"/>
      <c r="AW60" s="205"/>
      <c r="AX60" s="205"/>
      <c r="AY60" s="205"/>
    </row>
    <row r="61" spans="1:51" s="250" customFormat="1" ht="12.75" customHeight="1" x14ac:dyDescent="0.25">
      <c r="A61" s="373" t="str">
        <f>A42</f>
        <v>28. Implementar el proceso eleccionario del Consejo Consultivo de Mujeres - Espacio Autónomo y posesionar las Consejeras Consultivas electas.</v>
      </c>
      <c r="B61" s="378">
        <f>B42</f>
        <v>0.02</v>
      </c>
      <c r="C61" s="191" t="s">
        <v>63</v>
      </c>
      <c r="D61" s="222">
        <f t="shared" ref="D61:O61" si="11">D42*$B$42/$P$42</f>
        <v>1.9999999999999996E-3</v>
      </c>
      <c r="E61" s="222">
        <f t="shared" si="11"/>
        <v>3.9999999999999992E-3</v>
      </c>
      <c r="F61" s="222">
        <f t="shared" si="11"/>
        <v>5.9999999999999984E-3</v>
      </c>
      <c r="G61" s="222">
        <f t="shared" si="11"/>
        <v>1.9999999999999996E-3</v>
      </c>
      <c r="H61" s="222">
        <f t="shared" si="11"/>
        <v>1.9999999999999996E-3</v>
      </c>
      <c r="I61" s="222">
        <f t="shared" si="11"/>
        <v>9.999999999999998E-4</v>
      </c>
      <c r="J61" s="222">
        <f t="shared" si="11"/>
        <v>9.999999999999998E-4</v>
      </c>
      <c r="K61" s="222">
        <f t="shared" si="11"/>
        <v>9.999999999999998E-4</v>
      </c>
      <c r="L61" s="222">
        <f t="shared" si="11"/>
        <v>9.999999999999998E-4</v>
      </c>
      <c r="M61" s="222">
        <f t="shared" si="11"/>
        <v>0</v>
      </c>
      <c r="N61" s="222">
        <f t="shared" si="11"/>
        <v>0</v>
      </c>
      <c r="O61" s="222">
        <f t="shared" si="11"/>
        <v>0</v>
      </c>
      <c r="P61" s="223">
        <f t="shared" ref="P61:P62" si="12">SUM(D61:O61)</f>
        <v>0.02</v>
      </c>
      <c r="Q61" s="108">
        <v>2.5000000000000001E-2</v>
      </c>
      <c r="R61" s="224">
        <f t="shared" si="8"/>
        <v>-5.000000000000001E-3</v>
      </c>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05"/>
      <c r="AR61" s="205"/>
      <c r="AS61" s="205"/>
      <c r="AT61" s="205"/>
      <c r="AU61" s="205"/>
      <c r="AV61" s="205"/>
      <c r="AW61" s="205"/>
      <c r="AX61" s="205"/>
      <c r="AY61" s="205"/>
    </row>
    <row r="62" spans="1:51" s="250" customFormat="1" ht="12.75" customHeight="1" x14ac:dyDescent="0.25">
      <c r="A62" s="377"/>
      <c r="B62" s="379"/>
      <c r="C62" s="196" t="s">
        <v>64</v>
      </c>
      <c r="D62" s="226">
        <f t="shared" ref="D62:O62" si="13">D43*$B$42/$P$42</f>
        <v>1.9999999999999996E-3</v>
      </c>
      <c r="E62" s="226">
        <f t="shared" si="13"/>
        <v>3.9999999999999992E-3</v>
      </c>
      <c r="F62" s="226">
        <f t="shared" si="13"/>
        <v>5.9999999999999984E-3</v>
      </c>
      <c r="G62" s="226">
        <f t="shared" si="13"/>
        <v>1.9999999999999996E-3</v>
      </c>
      <c r="H62" s="226">
        <f t="shared" si="13"/>
        <v>1.9999999999999996E-3</v>
      </c>
      <c r="I62" s="226">
        <f t="shared" si="13"/>
        <v>9.999999999999998E-4</v>
      </c>
      <c r="J62" s="226">
        <f t="shared" si="13"/>
        <v>9.999999999999998E-4</v>
      </c>
      <c r="K62" s="226">
        <f t="shared" si="13"/>
        <v>9.999999999999998E-4</v>
      </c>
      <c r="L62" s="226">
        <f t="shared" si="13"/>
        <v>5.9999999999999984E-4</v>
      </c>
      <c r="M62" s="226">
        <f t="shared" si="13"/>
        <v>3.9999999999999991E-4</v>
      </c>
      <c r="N62" s="226">
        <f t="shared" si="13"/>
        <v>0</v>
      </c>
      <c r="O62" s="226">
        <f t="shared" si="13"/>
        <v>0</v>
      </c>
      <c r="P62" s="227">
        <f t="shared" si="12"/>
        <v>0.02</v>
      </c>
      <c r="Q62" s="228">
        <f>+P62</f>
        <v>0.02</v>
      </c>
      <c r="R62" s="224">
        <f t="shared" si="8"/>
        <v>0</v>
      </c>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05"/>
      <c r="AR62" s="205"/>
      <c r="AS62" s="205"/>
      <c r="AT62" s="205"/>
      <c r="AU62" s="205"/>
      <c r="AV62" s="205"/>
      <c r="AW62" s="205"/>
      <c r="AX62" s="205"/>
      <c r="AY62" s="205"/>
    </row>
    <row r="63" spans="1:51" s="250" customFormat="1" ht="15.75" customHeight="1" x14ac:dyDescent="0.25">
      <c r="A63" s="225"/>
      <c r="B63" s="225"/>
      <c r="C63" s="229"/>
      <c r="D63" s="230">
        <f>D58+D60+D62</f>
        <v>1.9999999999999996E-3</v>
      </c>
      <c r="E63" s="230">
        <f t="shared" ref="E63:O63" si="14">E58+E60+E62</f>
        <v>6.9999999999999984E-3</v>
      </c>
      <c r="F63" s="230">
        <f t="shared" si="14"/>
        <v>1.0999999999999998E-2</v>
      </c>
      <c r="G63" s="230">
        <f t="shared" si="14"/>
        <v>6.9999999999999993E-3</v>
      </c>
      <c r="H63" s="230">
        <f t="shared" si="14"/>
        <v>3.9999999999999992E-3</v>
      </c>
      <c r="I63" s="230">
        <f t="shared" si="14"/>
        <v>1.5999999999999996E-3</v>
      </c>
      <c r="J63" s="230">
        <f t="shared" si="14"/>
        <v>2.5999999999999999E-3</v>
      </c>
      <c r="K63" s="230">
        <f t="shared" si="14"/>
        <v>1.7999999999999995E-3</v>
      </c>
      <c r="L63" s="230">
        <f t="shared" si="14"/>
        <v>5.5999999999999991E-3</v>
      </c>
      <c r="M63" s="230">
        <f t="shared" si="14"/>
        <v>5.4000000000000003E-3</v>
      </c>
      <c r="N63" s="230">
        <f t="shared" si="14"/>
        <v>4.0000000000000001E-3</v>
      </c>
      <c r="O63" s="230">
        <f t="shared" si="14"/>
        <v>8.0000000000000002E-3</v>
      </c>
      <c r="P63" s="230">
        <f>P58+P60+P62</f>
        <v>0.06</v>
      </c>
      <c r="Q63" s="225"/>
      <c r="R63" s="224">
        <f>+P63-Q63</f>
        <v>0.06</v>
      </c>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05"/>
      <c r="AR63" s="205"/>
      <c r="AS63" s="205"/>
      <c r="AT63" s="205"/>
      <c r="AU63" s="205"/>
      <c r="AV63" s="205"/>
      <c r="AW63" s="205"/>
      <c r="AX63" s="205"/>
      <c r="AY63" s="205"/>
    </row>
    <row r="64" spans="1:51" s="250" customFormat="1" ht="15.75" customHeight="1" x14ac:dyDescent="0.25">
      <c r="A64" s="205"/>
      <c r="B64" s="205"/>
      <c r="C64" s="209" t="s">
        <v>64</v>
      </c>
      <c r="D64" s="231">
        <f>D63*$W$17/$B$34</f>
        <v>9.9999999999999985E-3</v>
      </c>
      <c r="E64" s="231">
        <f t="shared" ref="E64:O64" si="15">E63*$W$17/$B$34</f>
        <v>3.4999999999999989E-2</v>
      </c>
      <c r="F64" s="231">
        <f t="shared" si="15"/>
        <v>5.4999999999999986E-2</v>
      </c>
      <c r="G64" s="231">
        <f t="shared" si="15"/>
        <v>3.4999999999999996E-2</v>
      </c>
      <c r="H64" s="231">
        <f t="shared" si="15"/>
        <v>1.9999999999999997E-2</v>
      </c>
      <c r="I64" s="231">
        <f t="shared" si="15"/>
        <v>7.9999999999999984E-3</v>
      </c>
      <c r="J64" s="231">
        <f t="shared" si="15"/>
        <v>1.2999999999999999E-2</v>
      </c>
      <c r="K64" s="231">
        <f t="shared" si="15"/>
        <v>8.9999999999999976E-3</v>
      </c>
      <c r="L64" s="231">
        <f t="shared" si="15"/>
        <v>2.7999999999999994E-2</v>
      </c>
      <c r="M64" s="231">
        <f t="shared" si="15"/>
        <v>2.7000000000000003E-2</v>
      </c>
      <c r="N64" s="231">
        <f t="shared" si="15"/>
        <v>0.02</v>
      </c>
      <c r="O64" s="231">
        <f t="shared" si="15"/>
        <v>0.04</v>
      </c>
      <c r="P64" s="232">
        <f>SUM(D64:O64)</f>
        <v>0.3</v>
      </c>
      <c r="Q64" s="204"/>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row>
    <row r="65" spans="1:51" s="250" customFormat="1" ht="13.5" customHeight="1" x14ac:dyDescent="0.25">
      <c r="A65" s="204"/>
      <c r="B65" s="204"/>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row>
    <row r="66" spans="1:51" x14ac:dyDescent="0.25">
      <c r="D66" s="230">
        <f>D57+D59+D61</f>
        <v>1.9999999999999996E-3</v>
      </c>
      <c r="E66" s="230">
        <f t="shared" ref="E66:O66" si="16">E57+E59+E61</f>
        <v>6.9999999999999984E-3</v>
      </c>
      <c r="F66" s="230">
        <f t="shared" si="16"/>
        <v>1.0999999999999998E-2</v>
      </c>
      <c r="G66" s="230">
        <f t="shared" si="16"/>
        <v>6.9999999999999993E-3</v>
      </c>
      <c r="H66" s="230">
        <f t="shared" si="16"/>
        <v>5.9999999999999984E-3</v>
      </c>
      <c r="I66" s="230">
        <f t="shared" si="16"/>
        <v>1.5999999999999996E-3</v>
      </c>
      <c r="J66" s="230">
        <f t="shared" si="16"/>
        <v>2.5999999999999999E-3</v>
      </c>
      <c r="K66" s="230">
        <f t="shared" si="16"/>
        <v>2.7999999999999995E-3</v>
      </c>
      <c r="L66" s="230">
        <f t="shared" si="16"/>
        <v>3.0000000000000001E-3</v>
      </c>
      <c r="M66" s="230">
        <f t="shared" si="16"/>
        <v>5.0000000000000001E-3</v>
      </c>
      <c r="N66" s="230">
        <f t="shared" si="16"/>
        <v>5.0000000000000001E-3</v>
      </c>
      <c r="O66" s="230">
        <f t="shared" si="16"/>
        <v>6.9999999999999993E-3</v>
      </c>
      <c r="P66" s="230">
        <f>SUM(D66:O66)</f>
        <v>5.9999999999999984E-2</v>
      </c>
    </row>
    <row r="67" spans="1:51" s="250" customFormat="1" ht="15.75" customHeight="1" x14ac:dyDescent="0.25">
      <c r="A67" s="205"/>
      <c r="B67" s="205"/>
      <c r="C67" s="209" t="s">
        <v>63</v>
      </c>
      <c r="D67" s="231">
        <f>D66*$W$17/$B$34</f>
        <v>9.9999999999999985E-3</v>
      </c>
      <c r="E67" s="231">
        <f t="shared" ref="E67:O67" si="17">E66*$W$17/$B$34</f>
        <v>3.4999999999999989E-2</v>
      </c>
      <c r="F67" s="231">
        <f t="shared" si="17"/>
        <v>5.4999999999999986E-2</v>
      </c>
      <c r="G67" s="231">
        <f t="shared" si="17"/>
        <v>3.4999999999999996E-2</v>
      </c>
      <c r="H67" s="231">
        <f t="shared" si="17"/>
        <v>2.9999999999999992E-2</v>
      </c>
      <c r="I67" s="231">
        <f t="shared" si="17"/>
        <v>7.9999999999999984E-3</v>
      </c>
      <c r="J67" s="231">
        <f t="shared" si="17"/>
        <v>1.2999999999999999E-2</v>
      </c>
      <c r="K67" s="231">
        <f t="shared" si="17"/>
        <v>1.3999999999999997E-2</v>
      </c>
      <c r="L67" s="231">
        <f t="shared" si="17"/>
        <v>1.4999999999999999E-2</v>
      </c>
      <c r="M67" s="231">
        <f t="shared" si="17"/>
        <v>2.5000000000000001E-2</v>
      </c>
      <c r="N67" s="231">
        <f t="shared" si="17"/>
        <v>2.5000000000000001E-2</v>
      </c>
      <c r="O67" s="231">
        <f t="shared" si="17"/>
        <v>3.4999999999999996E-2</v>
      </c>
      <c r="P67" s="232">
        <f>SUM(D67:O67)</f>
        <v>0.29999999999999993</v>
      </c>
      <c r="Q67" s="204"/>
      <c r="R67" s="205"/>
      <c r="S67" s="205"/>
      <c r="T67" s="205"/>
      <c r="U67" s="205"/>
      <c r="V67" s="205"/>
      <c r="W67" s="205"/>
      <c r="X67" s="205"/>
      <c r="Y67" s="205"/>
      <c r="Z67" s="205"/>
      <c r="AA67" s="205"/>
      <c r="AB67" s="205"/>
      <c r="AC67" s="205"/>
      <c r="AD67" s="205"/>
      <c r="AE67" s="205"/>
      <c r="AF67" s="205"/>
      <c r="AG67" s="205"/>
      <c r="AH67" s="205"/>
      <c r="AI67" s="205"/>
      <c r="AJ67" s="205"/>
      <c r="AK67" s="205"/>
      <c r="AL67" s="205"/>
      <c r="AM67" s="205"/>
      <c r="AN67" s="205"/>
      <c r="AO67" s="205"/>
      <c r="AP67" s="205"/>
      <c r="AQ67" s="205"/>
      <c r="AR67" s="205"/>
      <c r="AS67" s="205"/>
      <c r="AT67" s="205"/>
      <c r="AU67" s="205"/>
      <c r="AV67" s="205"/>
      <c r="AW67" s="205"/>
      <c r="AX67" s="205"/>
      <c r="AY67" s="205"/>
    </row>
  </sheetData>
  <mergeCells count="82">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AC17:AD17"/>
    <mergeCell ref="A19:AD19"/>
    <mergeCell ref="C20:P20"/>
    <mergeCell ref="Q20:AD20"/>
    <mergeCell ref="C16:AB16"/>
    <mergeCell ref="A17:B17"/>
    <mergeCell ref="C17:Q17"/>
    <mergeCell ref="R17:V17"/>
    <mergeCell ref="W17:X17"/>
    <mergeCell ref="Y17:AB17"/>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6:A37"/>
    <mergeCell ref="B36:B37"/>
    <mergeCell ref="C36:P36"/>
    <mergeCell ref="Q36:AD36"/>
    <mergeCell ref="Q37:AD37"/>
    <mergeCell ref="A34:A35"/>
    <mergeCell ref="B34:B35"/>
    <mergeCell ref="Q34:V35"/>
    <mergeCell ref="W34:Z35"/>
    <mergeCell ref="AA34:AD35"/>
    <mergeCell ref="Q40:AD41"/>
    <mergeCell ref="A42:A43"/>
    <mergeCell ref="B42:B43"/>
    <mergeCell ref="Q42:AD43"/>
    <mergeCell ref="A38:A39"/>
    <mergeCell ref="B38:B39"/>
    <mergeCell ref="Q38:AD39"/>
    <mergeCell ref="C55:P55"/>
    <mergeCell ref="A57:A58"/>
    <mergeCell ref="B57:B58"/>
    <mergeCell ref="A40:A41"/>
    <mergeCell ref="B40:B41"/>
    <mergeCell ref="A59:A60"/>
    <mergeCell ref="B59:B60"/>
    <mergeCell ref="A61:A62"/>
    <mergeCell ref="B61:B62"/>
    <mergeCell ref="A55:A56"/>
    <mergeCell ref="B55:B56"/>
  </mergeCells>
  <phoneticPr fontId="50" type="noConversion"/>
  <dataValidations count="5">
    <dataValidation type="textLength" operator="lessThanOrEqual" allowBlank="1" showInputMessage="1" showErrorMessage="1" errorTitle="Máximo 2.000 caracteres" error="Máximo 2.000 caracteres" sqref="W34 AA34 Q34" xr:uid="{00000000-0002-0000-0400-000000000000}">
      <formula1>2000</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list" allowBlank="1" showInputMessage="1" showErrorMessage="1" sqref="C7:C9" xr:uid="{00000000-0002-0000-0400-000002000000}">
      <formula1>$C$21:$N$21</formula1>
    </dataValidation>
    <dataValidation type="textLength" operator="lessThanOrEqual" allowBlank="1" showInputMessage="1" showErrorMessage="1" errorTitle="Máximo 2.000 caracteres" error="Máximo 2.000 caracteres" sqref="Q42:AD43" xr:uid="{00000000-0002-0000-0400-000003000000}">
      <formula1>14000</formula1>
    </dataValidation>
    <dataValidation type="textLength" operator="lessThanOrEqual" allowBlank="1" showInputMessage="1" showErrorMessage="1" errorTitle="Máximo 2.000 caracteres" error="Máximo 2.000 caracteres" sqref="Q38:AD41" xr:uid="{00000000-0002-0000-0400-000004000000}">
      <formula1>20000</formula1>
    </dataValidation>
  </dataValidations>
  <printOptions horizontalCentered="1"/>
  <pageMargins left="0.73685039370078742" right="0.19685039370078741" top="0.19685039370078741" bottom="0.19685039370078741" header="0" footer="0"/>
  <pageSetup paperSize="9" scale="26"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rgb="FF7030A0"/>
  </sheetPr>
  <dimension ref="A1:AY75"/>
  <sheetViews>
    <sheetView view="pageBreakPreview" topLeftCell="L32" zoomScale="60" zoomScaleNormal="75" workbookViewId="0">
      <selection activeCell="Q20" sqref="Q20:AD20"/>
    </sheetView>
  </sheetViews>
  <sheetFormatPr baseColWidth="10" defaultColWidth="11.42578125" defaultRowHeight="15" x14ac:dyDescent="0.25"/>
  <cols>
    <col min="1" max="1" width="37.42578125" style="108" customWidth="1"/>
    <col min="2" max="2" width="11.42578125" style="108"/>
    <col min="3" max="3" width="17.42578125" style="108" customWidth="1"/>
    <col min="4" max="16" width="15.42578125" style="108" customWidth="1"/>
    <col min="17" max="17" width="16" style="108" bestFit="1" customWidth="1"/>
    <col min="18" max="28" width="14.85546875" style="108" bestFit="1" customWidth="1"/>
    <col min="29" max="29" width="16" style="108" bestFit="1" customWidth="1"/>
    <col min="30" max="30" width="11.42578125" style="108"/>
    <col min="31" max="31" width="17" style="108" customWidth="1"/>
    <col min="32" max="32" width="14.42578125" style="108" bestFit="1" customWidth="1"/>
    <col min="33" max="16384" width="11.42578125" style="108"/>
  </cols>
  <sheetData>
    <row r="1" spans="1:30" ht="15" customHeight="1" x14ac:dyDescent="0.25">
      <c r="A1" s="489"/>
      <c r="B1" s="492" t="s">
        <v>0</v>
      </c>
      <c r="C1" s="493"/>
      <c r="D1" s="493"/>
      <c r="E1" s="493"/>
      <c r="F1" s="493"/>
      <c r="G1" s="493"/>
      <c r="H1" s="493"/>
      <c r="I1" s="493"/>
      <c r="J1" s="493"/>
      <c r="K1" s="493"/>
      <c r="L1" s="493"/>
      <c r="M1" s="493"/>
      <c r="N1" s="493"/>
      <c r="O1" s="493"/>
      <c r="P1" s="493"/>
      <c r="Q1" s="493"/>
      <c r="R1" s="493"/>
      <c r="S1" s="493"/>
      <c r="T1" s="493"/>
      <c r="U1" s="493"/>
      <c r="V1" s="493"/>
      <c r="W1" s="493"/>
      <c r="X1" s="493"/>
      <c r="Y1" s="493"/>
      <c r="Z1" s="493"/>
      <c r="AA1" s="494"/>
      <c r="AB1" s="495" t="s">
        <v>1</v>
      </c>
      <c r="AC1" s="496"/>
      <c r="AD1" s="497"/>
    </row>
    <row r="2" spans="1:30" ht="15.75" x14ac:dyDescent="0.25">
      <c r="A2" s="490"/>
      <c r="B2" s="498" t="s">
        <v>2</v>
      </c>
      <c r="C2" s="499"/>
      <c r="D2" s="499"/>
      <c r="E2" s="499"/>
      <c r="F2" s="499"/>
      <c r="G2" s="499"/>
      <c r="H2" s="499"/>
      <c r="I2" s="499"/>
      <c r="J2" s="499"/>
      <c r="K2" s="499"/>
      <c r="L2" s="499"/>
      <c r="M2" s="499"/>
      <c r="N2" s="499"/>
      <c r="O2" s="499"/>
      <c r="P2" s="499"/>
      <c r="Q2" s="499"/>
      <c r="R2" s="499"/>
      <c r="S2" s="499"/>
      <c r="T2" s="499"/>
      <c r="U2" s="499"/>
      <c r="V2" s="499"/>
      <c r="W2" s="499"/>
      <c r="X2" s="499"/>
      <c r="Y2" s="499"/>
      <c r="Z2" s="499"/>
      <c r="AA2" s="500"/>
      <c r="AB2" s="501" t="s">
        <v>3</v>
      </c>
      <c r="AC2" s="502"/>
      <c r="AD2" s="503"/>
    </row>
    <row r="3" spans="1:30" ht="37.5" customHeight="1" x14ac:dyDescent="0.25">
      <c r="A3" s="490"/>
      <c r="B3" s="504" t="s">
        <v>4</v>
      </c>
      <c r="C3" s="505"/>
      <c r="D3" s="505"/>
      <c r="E3" s="505"/>
      <c r="F3" s="505"/>
      <c r="G3" s="505"/>
      <c r="H3" s="505"/>
      <c r="I3" s="505"/>
      <c r="J3" s="505"/>
      <c r="K3" s="505"/>
      <c r="L3" s="505"/>
      <c r="M3" s="505"/>
      <c r="N3" s="505"/>
      <c r="O3" s="505"/>
      <c r="P3" s="505"/>
      <c r="Q3" s="505"/>
      <c r="R3" s="505"/>
      <c r="S3" s="505"/>
      <c r="T3" s="505"/>
      <c r="U3" s="505"/>
      <c r="V3" s="505"/>
      <c r="W3" s="505"/>
      <c r="X3" s="505"/>
      <c r="Y3" s="505"/>
      <c r="Z3" s="505"/>
      <c r="AA3" s="506"/>
      <c r="AB3" s="501" t="s">
        <v>5</v>
      </c>
      <c r="AC3" s="502"/>
      <c r="AD3" s="503"/>
    </row>
    <row r="4" spans="1:30" ht="16.5" thickBot="1" x14ac:dyDescent="0.3">
      <c r="A4" s="491"/>
      <c r="B4" s="507"/>
      <c r="C4" s="508"/>
      <c r="D4" s="508"/>
      <c r="E4" s="508"/>
      <c r="F4" s="508"/>
      <c r="G4" s="508"/>
      <c r="H4" s="508"/>
      <c r="I4" s="508"/>
      <c r="J4" s="508"/>
      <c r="K4" s="508"/>
      <c r="L4" s="508"/>
      <c r="M4" s="508"/>
      <c r="N4" s="508"/>
      <c r="O4" s="508"/>
      <c r="P4" s="508"/>
      <c r="Q4" s="508"/>
      <c r="R4" s="508"/>
      <c r="S4" s="508"/>
      <c r="T4" s="508"/>
      <c r="U4" s="508"/>
      <c r="V4" s="508"/>
      <c r="W4" s="508"/>
      <c r="X4" s="508"/>
      <c r="Y4" s="508"/>
      <c r="Z4" s="508"/>
      <c r="AA4" s="509"/>
      <c r="AB4" s="510" t="s">
        <v>6</v>
      </c>
      <c r="AC4" s="511"/>
      <c r="AD4" s="512"/>
    </row>
    <row r="5" spans="1:30" ht="15.75"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15.75"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515" t="s">
        <v>7</v>
      </c>
      <c r="B7" s="516"/>
      <c r="C7" s="521" t="s">
        <v>40</v>
      </c>
      <c r="D7" s="515" t="s">
        <v>9</v>
      </c>
      <c r="E7" s="524"/>
      <c r="F7" s="524"/>
      <c r="G7" s="524"/>
      <c r="H7" s="516"/>
      <c r="I7" s="527">
        <v>44929</v>
      </c>
      <c r="J7" s="528"/>
      <c r="K7" s="515" t="s">
        <v>10</v>
      </c>
      <c r="L7" s="516"/>
      <c r="M7" s="543" t="s">
        <v>11</v>
      </c>
      <c r="N7" s="544"/>
      <c r="O7" s="533"/>
      <c r="P7" s="534"/>
      <c r="Q7" s="54"/>
      <c r="R7" s="54"/>
      <c r="S7" s="54"/>
      <c r="T7" s="54"/>
      <c r="U7" s="54"/>
      <c r="V7" s="54"/>
      <c r="W7" s="54"/>
      <c r="X7" s="54"/>
      <c r="Y7" s="54"/>
      <c r="Z7" s="55"/>
      <c r="AA7" s="54"/>
      <c r="AB7" s="54"/>
      <c r="AC7" s="60"/>
      <c r="AD7" s="61"/>
    </row>
    <row r="8" spans="1:30" x14ac:dyDescent="0.25">
      <c r="A8" s="517"/>
      <c r="B8" s="518"/>
      <c r="C8" s="522"/>
      <c r="D8" s="517"/>
      <c r="E8" s="525"/>
      <c r="F8" s="525"/>
      <c r="G8" s="525"/>
      <c r="H8" s="518"/>
      <c r="I8" s="529"/>
      <c r="J8" s="530"/>
      <c r="K8" s="517"/>
      <c r="L8" s="518"/>
      <c r="M8" s="535" t="s">
        <v>12</v>
      </c>
      <c r="N8" s="536"/>
      <c r="O8" s="537"/>
      <c r="P8" s="538"/>
      <c r="Q8" s="54"/>
      <c r="R8" s="54"/>
      <c r="S8" s="54"/>
      <c r="T8" s="54"/>
      <c r="U8" s="54"/>
      <c r="V8" s="54"/>
      <c r="W8" s="54"/>
      <c r="X8" s="54"/>
      <c r="Y8" s="54"/>
      <c r="Z8" s="55"/>
      <c r="AA8" s="54"/>
      <c r="AB8" s="54"/>
      <c r="AC8" s="60"/>
      <c r="AD8" s="61"/>
    </row>
    <row r="9" spans="1:30" ht="15.75" thickBot="1" x14ac:dyDescent="0.3">
      <c r="A9" s="519"/>
      <c r="B9" s="520"/>
      <c r="C9" s="523"/>
      <c r="D9" s="519"/>
      <c r="E9" s="526"/>
      <c r="F9" s="526"/>
      <c r="G9" s="526"/>
      <c r="H9" s="520"/>
      <c r="I9" s="531"/>
      <c r="J9" s="532"/>
      <c r="K9" s="519"/>
      <c r="L9" s="520"/>
      <c r="M9" s="539" t="s">
        <v>13</v>
      </c>
      <c r="N9" s="540"/>
      <c r="O9" s="541" t="s">
        <v>14</v>
      </c>
      <c r="P9" s="542"/>
      <c r="Q9" s="54"/>
      <c r="R9" s="54"/>
      <c r="S9" s="54"/>
      <c r="T9" s="54"/>
      <c r="U9" s="54"/>
      <c r="V9" s="54"/>
      <c r="W9" s="54"/>
      <c r="X9" s="54"/>
      <c r="Y9" s="54"/>
      <c r="Z9" s="55"/>
      <c r="AA9" s="54"/>
      <c r="AB9" s="54"/>
      <c r="AC9" s="60"/>
      <c r="AD9" s="61"/>
    </row>
    <row r="10" spans="1:30" ht="15.75" thickBot="1" x14ac:dyDescent="0.3">
      <c r="A10" s="151"/>
      <c r="B10" s="152"/>
      <c r="C10" s="152"/>
      <c r="D10" s="65"/>
      <c r="E10" s="65"/>
      <c r="F10" s="65"/>
      <c r="G10" s="65"/>
      <c r="H10" s="65"/>
      <c r="I10" s="212"/>
      <c r="J10" s="212"/>
      <c r="K10" s="65"/>
      <c r="L10" s="65"/>
      <c r="M10" s="213"/>
      <c r="N10" s="213"/>
      <c r="O10" s="112"/>
      <c r="P10" s="112"/>
      <c r="Q10" s="152"/>
      <c r="R10" s="152"/>
      <c r="S10" s="152"/>
      <c r="T10" s="152"/>
      <c r="U10" s="152"/>
      <c r="V10" s="152"/>
      <c r="W10" s="152"/>
      <c r="X10" s="152"/>
      <c r="Y10" s="152"/>
      <c r="Z10" s="153"/>
      <c r="AA10" s="152"/>
      <c r="AB10" s="152"/>
      <c r="AC10" s="154"/>
      <c r="AD10" s="155"/>
    </row>
    <row r="11" spans="1:30" x14ac:dyDescent="0.25">
      <c r="A11" s="515" t="s">
        <v>15</v>
      </c>
      <c r="B11" s="516"/>
      <c r="C11" s="580" t="s">
        <v>113</v>
      </c>
      <c r="D11" s="581"/>
      <c r="E11" s="581"/>
      <c r="F11" s="581"/>
      <c r="G11" s="581"/>
      <c r="H11" s="581"/>
      <c r="I11" s="581"/>
      <c r="J11" s="581"/>
      <c r="K11" s="581"/>
      <c r="L11" s="581"/>
      <c r="M11" s="581"/>
      <c r="N11" s="581"/>
      <c r="O11" s="581"/>
      <c r="P11" s="581"/>
      <c r="Q11" s="581"/>
      <c r="R11" s="581"/>
      <c r="S11" s="581"/>
      <c r="T11" s="581"/>
      <c r="U11" s="581"/>
      <c r="V11" s="581"/>
      <c r="W11" s="581"/>
      <c r="X11" s="581"/>
      <c r="Y11" s="581"/>
      <c r="Z11" s="581"/>
      <c r="AA11" s="581"/>
      <c r="AB11" s="581"/>
      <c r="AC11" s="581"/>
      <c r="AD11" s="582"/>
    </row>
    <row r="12" spans="1:30" x14ac:dyDescent="0.25">
      <c r="A12" s="517"/>
      <c r="B12" s="518"/>
      <c r="C12" s="583"/>
      <c r="D12" s="584"/>
      <c r="E12" s="584"/>
      <c r="F12" s="584"/>
      <c r="G12" s="584"/>
      <c r="H12" s="584"/>
      <c r="I12" s="584"/>
      <c r="J12" s="584"/>
      <c r="K12" s="584"/>
      <c r="L12" s="584"/>
      <c r="M12" s="584"/>
      <c r="N12" s="584"/>
      <c r="O12" s="584"/>
      <c r="P12" s="584"/>
      <c r="Q12" s="584"/>
      <c r="R12" s="584"/>
      <c r="S12" s="584"/>
      <c r="T12" s="584"/>
      <c r="U12" s="584"/>
      <c r="V12" s="584"/>
      <c r="W12" s="584"/>
      <c r="X12" s="584"/>
      <c r="Y12" s="584"/>
      <c r="Z12" s="584"/>
      <c r="AA12" s="584"/>
      <c r="AB12" s="584"/>
      <c r="AC12" s="584"/>
      <c r="AD12" s="585"/>
    </row>
    <row r="13" spans="1:30" ht="15.75" thickBot="1" x14ac:dyDescent="0.3">
      <c r="A13" s="519"/>
      <c r="B13" s="520"/>
      <c r="C13" s="586"/>
      <c r="D13" s="587"/>
      <c r="E13" s="587"/>
      <c r="F13" s="587"/>
      <c r="G13" s="587"/>
      <c r="H13" s="587"/>
      <c r="I13" s="587"/>
      <c r="J13" s="587"/>
      <c r="K13" s="587"/>
      <c r="L13" s="587"/>
      <c r="M13" s="587"/>
      <c r="N13" s="587"/>
      <c r="O13" s="587"/>
      <c r="P13" s="587"/>
      <c r="Q13" s="587"/>
      <c r="R13" s="587"/>
      <c r="S13" s="587"/>
      <c r="T13" s="587"/>
      <c r="U13" s="587"/>
      <c r="V13" s="587"/>
      <c r="W13" s="587"/>
      <c r="X13" s="587"/>
      <c r="Y13" s="587"/>
      <c r="Z13" s="587"/>
      <c r="AA13" s="587"/>
      <c r="AB13" s="587"/>
      <c r="AC13" s="587"/>
      <c r="AD13" s="588"/>
    </row>
    <row r="14" spans="1:30" ht="15.75"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x14ac:dyDescent="0.3">
      <c r="A15" s="471" t="s">
        <v>17</v>
      </c>
      <c r="B15" s="472"/>
      <c r="C15" s="577" t="s">
        <v>114</v>
      </c>
      <c r="D15" s="578"/>
      <c r="E15" s="578"/>
      <c r="F15" s="578"/>
      <c r="G15" s="578"/>
      <c r="H15" s="578"/>
      <c r="I15" s="578"/>
      <c r="J15" s="578"/>
      <c r="K15" s="579"/>
      <c r="L15" s="484" t="s">
        <v>19</v>
      </c>
      <c r="M15" s="488"/>
      <c r="N15" s="488"/>
      <c r="O15" s="488"/>
      <c r="P15" s="488"/>
      <c r="Q15" s="485"/>
      <c r="R15" s="481" t="s">
        <v>20</v>
      </c>
      <c r="S15" s="482"/>
      <c r="T15" s="482"/>
      <c r="U15" s="482"/>
      <c r="V15" s="482"/>
      <c r="W15" s="482"/>
      <c r="X15" s="483"/>
      <c r="Y15" s="484" t="s">
        <v>21</v>
      </c>
      <c r="Z15" s="485"/>
      <c r="AA15" s="467" t="s">
        <v>22</v>
      </c>
      <c r="AB15" s="468"/>
      <c r="AC15" s="468"/>
      <c r="AD15" s="469"/>
    </row>
    <row r="16" spans="1:30" ht="15.75" thickBot="1" x14ac:dyDescent="0.3">
      <c r="A16" s="59"/>
      <c r="B16" s="54"/>
      <c r="C16" s="470"/>
      <c r="D16" s="470"/>
      <c r="E16" s="470"/>
      <c r="F16" s="470"/>
      <c r="G16" s="470"/>
      <c r="H16" s="470"/>
      <c r="I16" s="470"/>
      <c r="J16" s="470"/>
      <c r="K16" s="470"/>
      <c r="L16" s="470"/>
      <c r="M16" s="470"/>
      <c r="N16" s="470"/>
      <c r="O16" s="470"/>
      <c r="P16" s="470"/>
      <c r="Q16" s="470"/>
      <c r="R16" s="470"/>
      <c r="S16" s="470"/>
      <c r="T16" s="470"/>
      <c r="U16" s="470"/>
      <c r="V16" s="470"/>
      <c r="W16" s="470"/>
      <c r="X16" s="470"/>
      <c r="Y16" s="470"/>
      <c r="Z16" s="470"/>
      <c r="AA16" s="470"/>
      <c r="AB16" s="470"/>
      <c r="AC16" s="73"/>
      <c r="AD16" s="74"/>
    </row>
    <row r="17" spans="1:33" ht="28.5" customHeight="1" thickBot="1" x14ac:dyDescent="0.3">
      <c r="A17" s="471" t="s">
        <v>23</v>
      </c>
      <c r="B17" s="472"/>
      <c r="C17" s="574" t="s">
        <v>130</v>
      </c>
      <c r="D17" s="575"/>
      <c r="E17" s="575"/>
      <c r="F17" s="575"/>
      <c r="G17" s="575"/>
      <c r="H17" s="575"/>
      <c r="I17" s="575"/>
      <c r="J17" s="575"/>
      <c r="K17" s="575"/>
      <c r="L17" s="575"/>
      <c r="M17" s="575"/>
      <c r="N17" s="575"/>
      <c r="O17" s="575"/>
      <c r="P17" s="575"/>
      <c r="Q17" s="576"/>
      <c r="R17" s="484" t="s">
        <v>25</v>
      </c>
      <c r="S17" s="488"/>
      <c r="T17" s="488"/>
      <c r="U17" s="488"/>
      <c r="V17" s="485"/>
      <c r="W17" s="486">
        <v>4</v>
      </c>
      <c r="X17" s="487"/>
      <c r="Y17" s="488" t="s">
        <v>26</v>
      </c>
      <c r="Z17" s="488"/>
      <c r="AA17" s="488"/>
      <c r="AB17" s="485"/>
      <c r="AC17" s="476">
        <v>0.05</v>
      </c>
      <c r="AD17" s="477"/>
    </row>
    <row r="18" spans="1:33" ht="15.75"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33" ht="32.25" customHeight="1" thickBot="1" x14ac:dyDescent="0.3">
      <c r="A19" s="484" t="s">
        <v>27</v>
      </c>
      <c r="B19" s="488"/>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5"/>
      <c r="AE19" s="215"/>
      <c r="AF19" s="215"/>
    </row>
    <row r="20" spans="1:33" ht="32.25" customHeight="1" thickBot="1" x14ac:dyDescent="0.3">
      <c r="A20" s="246"/>
      <c r="B20" s="58"/>
      <c r="C20" s="484" t="s">
        <v>28</v>
      </c>
      <c r="D20" s="488"/>
      <c r="E20" s="488"/>
      <c r="F20" s="488"/>
      <c r="G20" s="488"/>
      <c r="H20" s="488"/>
      <c r="I20" s="488"/>
      <c r="J20" s="488"/>
      <c r="K20" s="488"/>
      <c r="L20" s="488"/>
      <c r="M20" s="488"/>
      <c r="N20" s="488"/>
      <c r="O20" s="488"/>
      <c r="P20" s="485"/>
      <c r="Q20" s="484" t="s">
        <v>29</v>
      </c>
      <c r="R20" s="488"/>
      <c r="S20" s="488"/>
      <c r="T20" s="488"/>
      <c r="U20" s="488"/>
      <c r="V20" s="488"/>
      <c r="W20" s="488"/>
      <c r="X20" s="488"/>
      <c r="Y20" s="488"/>
      <c r="Z20" s="488"/>
      <c r="AA20" s="488"/>
      <c r="AB20" s="488"/>
      <c r="AC20" s="488"/>
      <c r="AD20" s="485"/>
      <c r="AE20" s="215"/>
      <c r="AF20" s="215"/>
    </row>
    <row r="21" spans="1:33" ht="32.25" customHeight="1" thickBot="1" x14ac:dyDescent="0.3">
      <c r="A21" s="59"/>
      <c r="B21" s="247"/>
      <c r="C21" s="236" t="s">
        <v>30</v>
      </c>
      <c r="D21" s="187" t="s">
        <v>31</v>
      </c>
      <c r="E21" s="187" t="s">
        <v>32</v>
      </c>
      <c r="F21" s="187" t="s">
        <v>33</v>
      </c>
      <c r="G21" s="187" t="s">
        <v>34</v>
      </c>
      <c r="H21" s="187" t="s">
        <v>35</v>
      </c>
      <c r="I21" s="187" t="s">
        <v>8</v>
      </c>
      <c r="J21" s="187" t="s">
        <v>36</v>
      </c>
      <c r="K21" s="187" t="s">
        <v>37</v>
      </c>
      <c r="L21" s="187" t="s">
        <v>38</v>
      </c>
      <c r="M21" s="187" t="s">
        <v>39</v>
      </c>
      <c r="N21" s="187" t="s">
        <v>40</v>
      </c>
      <c r="O21" s="187" t="s">
        <v>41</v>
      </c>
      <c r="P21" s="188" t="s">
        <v>42</v>
      </c>
      <c r="Q21" s="236" t="s">
        <v>30</v>
      </c>
      <c r="R21" s="187" t="s">
        <v>31</v>
      </c>
      <c r="S21" s="187" t="s">
        <v>32</v>
      </c>
      <c r="T21" s="187" t="s">
        <v>33</v>
      </c>
      <c r="U21" s="187" t="s">
        <v>34</v>
      </c>
      <c r="V21" s="187" t="s">
        <v>35</v>
      </c>
      <c r="W21" s="187" t="s">
        <v>8</v>
      </c>
      <c r="X21" s="187" t="s">
        <v>36</v>
      </c>
      <c r="Y21" s="187" t="s">
        <v>37</v>
      </c>
      <c r="Z21" s="187" t="s">
        <v>38</v>
      </c>
      <c r="AA21" s="187" t="s">
        <v>39</v>
      </c>
      <c r="AB21" s="187" t="s">
        <v>40</v>
      </c>
      <c r="AC21" s="187" t="s">
        <v>41</v>
      </c>
      <c r="AD21" s="188" t="s">
        <v>42</v>
      </c>
      <c r="AE21" s="216"/>
      <c r="AF21" s="216"/>
    </row>
    <row r="22" spans="1:33" ht="32.25" customHeight="1" x14ac:dyDescent="0.25">
      <c r="A22" s="180" t="s">
        <v>43</v>
      </c>
      <c r="B22" s="248"/>
      <c r="C22" s="240" t="str">
        <f>'Meta 5 SCPI'!C22</f>
        <v>-</v>
      </c>
      <c r="D22" s="239"/>
      <c r="E22" s="239"/>
      <c r="F22" s="239"/>
      <c r="G22" s="239"/>
      <c r="H22" s="239"/>
      <c r="I22" s="239"/>
      <c r="J22" s="239"/>
      <c r="K22" s="239"/>
      <c r="L22" s="239"/>
      <c r="M22" s="239"/>
      <c r="N22" s="239"/>
      <c r="O22" s="239">
        <f>SUM(C22:N22)</f>
        <v>0</v>
      </c>
      <c r="P22" s="237"/>
      <c r="Q22" s="238">
        <v>248289520</v>
      </c>
      <c r="R22" s="239"/>
      <c r="S22" s="239"/>
      <c r="T22" s="239"/>
      <c r="U22" s="239"/>
      <c r="V22" s="239"/>
      <c r="W22" s="239"/>
      <c r="X22" s="239"/>
      <c r="Y22" s="239"/>
      <c r="Z22" s="239"/>
      <c r="AA22" s="239"/>
      <c r="AB22" s="241">
        <f>252695963-Q22-R22-S22-T22-U22-V22-W22-X22-Y22-Z22-AA22</f>
        <v>4406443</v>
      </c>
      <c r="AC22" s="239">
        <f>SUM(Q22:AB22)</f>
        <v>252695963</v>
      </c>
      <c r="AD22" s="284"/>
      <c r="AE22" s="216"/>
      <c r="AF22" s="216"/>
    </row>
    <row r="23" spans="1:33" ht="32.25" customHeight="1" x14ac:dyDescent="0.25">
      <c r="A23" s="181" t="s">
        <v>45</v>
      </c>
      <c r="B23" s="182"/>
      <c r="C23" s="238" t="s">
        <v>46</v>
      </c>
      <c r="D23" s="239" t="s">
        <v>46</v>
      </c>
      <c r="E23" s="239" t="s">
        <v>46</v>
      </c>
      <c r="F23" s="239" t="s">
        <v>46</v>
      </c>
      <c r="G23" s="239" t="s">
        <v>46</v>
      </c>
      <c r="H23" s="239" t="s">
        <v>46</v>
      </c>
      <c r="I23" s="239" t="s">
        <v>46</v>
      </c>
      <c r="J23" s="239" t="s">
        <v>46</v>
      </c>
      <c r="K23" s="239" t="s">
        <v>46</v>
      </c>
      <c r="L23" s="239" t="s">
        <v>46</v>
      </c>
      <c r="M23" s="239" t="s">
        <v>46</v>
      </c>
      <c r="N23" s="239" t="s">
        <v>46</v>
      </c>
      <c r="O23" s="241" t="s">
        <v>46</v>
      </c>
      <c r="P23" s="237"/>
      <c r="Q23" s="240">
        <v>248289520</v>
      </c>
      <c r="R23" s="241">
        <f>271741300-Q23</f>
        <v>23451780</v>
      </c>
      <c r="S23" s="241">
        <f>247651630-Q23-R23</f>
        <v>-24089670</v>
      </c>
      <c r="T23" s="241">
        <v>0</v>
      </c>
      <c r="U23" s="241">
        <f>247651630-Q23-R23-S23-T23</f>
        <v>0</v>
      </c>
      <c r="V23" s="241">
        <f>247651630-Q23-R23-S23-T23-U23</f>
        <v>0</v>
      </c>
      <c r="W23" s="241">
        <f>247651630-Q23-R23-S23-T23-U23-V23</f>
        <v>0</v>
      </c>
      <c r="X23" s="241">
        <f>247651630-Q23-R23-S23-T23-U23-V23-W23</f>
        <v>0</v>
      </c>
      <c r="Y23" s="241">
        <f>247651360-Q23-R23-S23</f>
        <v>-270</v>
      </c>
      <c r="Z23" s="241">
        <f>247651630-Q23-R23-S23-T23-U23-V23-W23-X23-Y23</f>
        <v>270</v>
      </c>
      <c r="AA23" s="241">
        <f>251063830-Q23-R23-S23-T23-U23-V23-W23-X23-Y23-Z23</f>
        <v>3412200</v>
      </c>
      <c r="AB23" s="241">
        <f>252695963-Q23-R23-S23-T23-U23-V23-W23-X23-Y23-Z23-AA23</f>
        <v>1632133</v>
      </c>
      <c r="AC23" s="241">
        <f>SUM(Q23:AB23)</f>
        <v>252695963</v>
      </c>
      <c r="AD23" s="286">
        <f>(SUM(Q23:AB23)/SUM(Q22:AB22))</f>
        <v>1</v>
      </c>
      <c r="AE23" s="216"/>
      <c r="AF23" s="216"/>
    </row>
    <row r="24" spans="1:33" ht="32.25" customHeight="1" x14ac:dyDescent="0.25">
      <c r="A24" s="181" t="s">
        <v>47</v>
      </c>
      <c r="B24" s="182"/>
      <c r="C24" s="296"/>
      <c r="D24" s="271"/>
      <c r="E24" s="271"/>
      <c r="F24" s="271"/>
      <c r="G24" s="271">
        <f>374000-374000</f>
        <v>0</v>
      </c>
      <c r="H24" s="272"/>
      <c r="I24" s="272"/>
      <c r="J24" s="272"/>
      <c r="K24" s="272"/>
      <c r="L24" s="272"/>
      <c r="M24" s="272"/>
      <c r="N24" s="272"/>
      <c r="O24" s="271">
        <f>SUM(C24:N24)</f>
        <v>0</v>
      </c>
      <c r="P24" s="277"/>
      <c r="Q24" s="242"/>
      <c r="R24" s="241">
        <v>11411058.6666667</v>
      </c>
      <c r="S24" s="239">
        <v>21932470</v>
      </c>
      <c r="T24" s="239">
        <v>21932470</v>
      </c>
      <c r="U24" s="239">
        <v>21932470</v>
      </c>
      <c r="V24" s="239">
        <v>21932470</v>
      </c>
      <c r="W24" s="241">
        <v>21932470</v>
      </c>
      <c r="X24" s="241">
        <v>21932470</v>
      </c>
      <c r="Y24" s="241">
        <v>21932470</v>
      </c>
      <c r="Z24" s="241">
        <v>21932470</v>
      </c>
      <c r="AA24" s="241">
        <v>21932470</v>
      </c>
      <c r="AB24" s="241">
        <f>252695963-Q24-R24-S24-T24-U24-V24-W24-X24-Y24-Z24-AA24</f>
        <v>43892674.333333313</v>
      </c>
      <c r="AC24" s="241">
        <f>SUM(Q24:AB24)</f>
        <v>252695963</v>
      </c>
      <c r="AD24" s="283"/>
      <c r="AE24" s="216"/>
      <c r="AF24" s="216"/>
      <c r="AG24" s="217"/>
    </row>
    <row r="25" spans="1:33" ht="32.25" customHeight="1" thickBot="1" x14ac:dyDescent="0.3">
      <c r="A25" s="183" t="s">
        <v>48</v>
      </c>
      <c r="B25" s="249"/>
      <c r="C25" s="281">
        <v>0</v>
      </c>
      <c r="D25" s="280">
        <v>0</v>
      </c>
      <c r="E25" s="280">
        <v>0</v>
      </c>
      <c r="F25" s="280">
        <v>0</v>
      </c>
      <c r="G25" s="280">
        <v>0</v>
      </c>
      <c r="H25" s="280"/>
      <c r="I25" s="280"/>
      <c r="J25" s="280"/>
      <c r="K25" s="280"/>
      <c r="L25" s="280"/>
      <c r="M25" s="280"/>
      <c r="N25" s="280"/>
      <c r="O25" s="280">
        <f>SUM(C25:N25)</f>
        <v>0</v>
      </c>
      <c r="P25" s="282"/>
      <c r="Q25" s="281"/>
      <c r="R25" s="280">
        <v>11353068</v>
      </c>
      <c r="S25" s="280">
        <f>33227549-R25</f>
        <v>21874481</v>
      </c>
      <c r="T25" s="280">
        <v>21874480</v>
      </c>
      <c r="U25" s="280">
        <f>76976509-R25-S25-T25</f>
        <v>21874480</v>
      </c>
      <c r="V25" s="280">
        <f>98850989-R25-S25-T25-U25</f>
        <v>21874480</v>
      </c>
      <c r="W25" s="280">
        <f>120725469-R25-S25-T25-U25-V25</f>
        <v>21874480</v>
      </c>
      <c r="X25" s="280">
        <f>142599949-R25-S25-T25-U25-V25-W25</f>
        <v>21874480</v>
      </c>
      <c r="Y25" s="280">
        <f>164474429-R25-S25-T25-U25-V25-W25-X25</f>
        <v>21874480</v>
      </c>
      <c r="Z25" s="280">
        <f>186348909-R25-S25-T25-U25-V25-W25-X25-Y25</f>
        <v>21874480</v>
      </c>
      <c r="AA25" s="280">
        <f>208223389-R25-S25-T25-U25-V25-W25-X25-Y25-Z25</f>
        <v>21874480</v>
      </c>
      <c r="AB25" s="258">
        <f>251481830-R25-S25-T25-U25-V25-W25-X25-Y25-Z25-AA25</f>
        <v>43258441</v>
      </c>
      <c r="AC25" s="280">
        <f>SUM(Q25:AB25)</f>
        <v>251481830</v>
      </c>
      <c r="AD25" s="287">
        <f>(SUM(Q25:AB25)/SUM(Q24:AB24))</f>
        <v>0.99519528137455837</v>
      </c>
      <c r="AE25" s="216"/>
      <c r="AF25" s="216"/>
      <c r="AG25" s="217"/>
    </row>
    <row r="26" spans="1:33" x14ac:dyDescent="0.25">
      <c r="A26" s="463" t="s">
        <v>49</v>
      </c>
      <c r="B26" s="464"/>
      <c r="C26" s="465"/>
      <c r="D26" s="465"/>
      <c r="E26" s="465"/>
      <c r="F26" s="465"/>
      <c r="G26" s="465"/>
      <c r="H26" s="465"/>
      <c r="I26" s="465"/>
      <c r="J26" s="465"/>
      <c r="K26" s="465"/>
      <c r="L26" s="465"/>
      <c r="M26" s="465"/>
      <c r="N26" s="465"/>
      <c r="O26" s="465"/>
      <c r="P26" s="465"/>
      <c r="Q26" s="465"/>
      <c r="R26" s="465"/>
      <c r="S26" s="465"/>
      <c r="T26" s="465"/>
      <c r="U26" s="465"/>
      <c r="V26" s="465"/>
      <c r="W26" s="465"/>
      <c r="X26" s="465"/>
      <c r="Y26" s="465"/>
      <c r="Z26" s="465"/>
      <c r="AA26" s="465"/>
      <c r="AB26" s="465"/>
      <c r="AC26" s="465"/>
      <c r="AD26" s="466"/>
    </row>
    <row r="27" spans="1:33" x14ac:dyDescent="0.25">
      <c r="A27" s="325"/>
      <c r="AD27" s="326"/>
    </row>
    <row r="28" spans="1:33" x14ac:dyDescent="0.25">
      <c r="A28" s="458" t="s">
        <v>50</v>
      </c>
      <c r="B28" s="460" t="s">
        <v>51</v>
      </c>
      <c r="C28" s="461"/>
      <c r="D28" s="423" t="s">
        <v>52</v>
      </c>
      <c r="E28" s="424"/>
      <c r="F28" s="424"/>
      <c r="G28" s="424"/>
      <c r="H28" s="424"/>
      <c r="I28" s="424"/>
      <c r="J28" s="424"/>
      <c r="K28" s="424"/>
      <c r="L28" s="424"/>
      <c r="M28" s="424"/>
      <c r="N28" s="424"/>
      <c r="O28" s="462"/>
      <c r="P28" s="451" t="s">
        <v>41</v>
      </c>
      <c r="Q28" s="451" t="s">
        <v>53</v>
      </c>
      <c r="R28" s="451"/>
      <c r="S28" s="451"/>
      <c r="T28" s="451"/>
      <c r="U28" s="451"/>
      <c r="V28" s="451"/>
      <c r="W28" s="451"/>
      <c r="X28" s="451"/>
      <c r="Y28" s="451"/>
      <c r="Z28" s="451"/>
      <c r="AA28" s="451"/>
      <c r="AB28" s="451"/>
      <c r="AC28" s="451"/>
      <c r="AD28" s="453"/>
    </row>
    <row r="29" spans="1:33" x14ac:dyDescent="0.25">
      <c r="A29" s="459"/>
      <c r="B29" s="454"/>
      <c r="C29" s="456"/>
      <c r="D29" s="88" t="s">
        <v>30</v>
      </c>
      <c r="E29" s="88" t="s">
        <v>31</v>
      </c>
      <c r="F29" s="88" t="s">
        <v>32</v>
      </c>
      <c r="G29" s="88" t="s">
        <v>33</v>
      </c>
      <c r="H29" s="88" t="s">
        <v>34</v>
      </c>
      <c r="I29" s="88" t="s">
        <v>35</v>
      </c>
      <c r="J29" s="88" t="s">
        <v>8</v>
      </c>
      <c r="K29" s="88" t="s">
        <v>36</v>
      </c>
      <c r="L29" s="88" t="s">
        <v>37</v>
      </c>
      <c r="M29" s="88" t="s">
        <v>38</v>
      </c>
      <c r="N29" s="88" t="s">
        <v>39</v>
      </c>
      <c r="O29" s="88" t="s">
        <v>40</v>
      </c>
      <c r="P29" s="462"/>
      <c r="Q29" s="451"/>
      <c r="R29" s="451"/>
      <c r="S29" s="451"/>
      <c r="T29" s="451"/>
      <c r="U29" s="451"/>
      <c r="V29" s="451"/>
      <c r="W29" s="451"/>
      <c r="X29" s="451"/>
      <c r="Y29" s="451"/>
      <c r="Z29" s="451"/>
      <c r="AA29" s="451"/>
      <c r="AB29" s="451"/>
      <c r="AC29" s="451"/>
      <c r="AD29" s="453"/>
    </row>
    <row r="30" spans="1:33" ht="30" customHeight="1" thickBot="1" x14ac:dyDescent="0.3">
      <c r="A30" s="85"/>
      <c r="B30" s="572"/>
      <c r="C30" s="573"/>
      <c r="D30" s="89"/>
      <c r="E30" s="89"/>
      <c r="F30" s="89"/>
      <c r="G30" s="89"/>
      <c r="H30" s="89"/>
      <c r="I30" s="89"/>
      <c r="J30" s="89"/>
      <c r="K30" s="89"/>
      <c r="L30" s="89"/>
      <c r="M30" s="89"/>
      <c r="N30" s="89"/>
      <c r="O30" s="89"/>
      <c r="P30" s="86">
        <f>SUM(D30:O30)</f>
        <v>0</v>
      </c>
      <c r="Q30" s="446" t="s">
        <v>125</v>
      </c>
      <c r="R30" s="446"/>
      <c r="S30" s="446"/>
      <c r="T30" s="446"/>
      <c r="U30" s="446"/>
      <c r="V30" s="446"/>
      <c r="W30" s="446"/>
      <c r="X30" s="446"/>
      <c r="Y30" s="446"/>
      <c r="Z30" s="446"/>
      <c r="AA30" s="446"/>
      <c r="AB30" s="446"/>
      <c r="AC30" s="446"/>
      <c r="AD30" s="447"/>
    </row>
    <row r="31" spans="1:33" x14ac:dyDescent="0.25">
      <c r="A31" s="448" t="s">
        <v>55</v>
      </c>
      <c r="B31" s="449"/>
      <c r="C31" s="449"/>
      <c r="D31" s="449"/>
      <c r="E31" s="449"/>
      <c r="F31" s="449"/>
      <c r="G31" s="449"/>
      <c r="H31" s="449"/>
      <c r="I31" s="449"/>
      <c r="J31" s="449"/>
      <c r="K31" s="449"/>
      <c r="L31" s="449"/>
      <c r="M31" s="449"/>
      <c r="N31" s="449"/>
      <c r="O31" s="449"/>
      <c r="P31" s="449"/>
      <c r="Q31" s="449"/>
      <c r="R31" s="449"/>
      <c r="S31" s="449"/>
      <c r="T31" s="449"/>
      <c r="U31" s="449"/>
      <c r="V31" s="449"/>
      <c r="W31" s="449"/>
      <c r="X31" s="449"/>
      <c r="Y31" s="449"/>
      <c r="Z31" s="449"/>
      <c r="AA31" s="449"/>
      <c r="AB31" s="449"/>
      <c r="AC31" s="449"/>
      <c r="AD31" s="450"/>
    </row>
    <row r="32" spans="1:33" x14ac:dyDescent="0.25">
      <c r="A32" s="416" t="s">
        <v>56</v>
      </c>
      <c r="B32" s="451" t="s">
        <v>57</v>
      </c>
      <c r="C32" s="451" t="s">
        <v>51</v>
      </c>
      <c r="D32" s="451" t="s">
        <v>58</v>
      </c>
      <c r="E32" s="451"/>
      <c r="F32" s="451"/>
      <c r="G32" s="451"/>
      <c r="H32" s="451"/>
      <c r="I32" s="451"/>
      <c r="J32" s="451"/>
      <c r="K32" s="451"/>
      <c r="L32" s="451"/>
      <c r="M32" s="451"/>
      <c r="N32" s="451"/>
      <c r="O32" s="451"/>
      <c r="P32" s="451"/>
      <c r="Q32" s="451" t="s">
        <v>59</v>
      </c>
      <c r="R32" s="451"/>
      <c r="S32" s="451"/>
      <c r="T32" s="451"/>
      <c r="U32" s="451"/>
      <c r="V32" s="451"/>
      <c r="W32" s="451"/>
      <c r="X32" s="451"/>
      <c r="Y32" s="451"/>
      <c r="Z32" s="451"/>
      <c r="AA32" s="451"/>
      <c r="AB32" s="451"/>
      <c r="AC32" s="451"/>
      <c r="AD32" s="453"/>
    </row>
    <row r="33" spans="1:41" x14ac:dyDescent="0.25">
      <c r="A33" s="416"/>
      <c r="B33" s="451"/>
      <c r="C33" s="452"/>
      <c r="D33" s="88" t="s">
        <v>30</v>
      </c>
      <c r="E33" s="88" t="s">
        <v>31</v>
      </c>
      <c r="F33" s="88" t="s">
        <v>32</v>
      </c>
      <c r="G33" s="88" t="s">
        <v>33</v>
      </c>
      <c r="H33" s="88" t="s">
        <v>34</v>
      </c>
      <c r="I33" s="88" t="s">
        <v>35</v>
      </c>
      <c r="J33" s="88" t="s">
        <v>8</v>
      </c>
      <c r="K33" s="88" t="s">
        <v>36</v>
      </c>
      <c r="L33" s="88" t="s">
        <v>37</v>
      </c>
      <c r="M33" s="88" t="s">
        <v>38</v>
      </c>
      <c r="N33" s="88" t="s">
        <v>39</v>
      </c>
      <c r="O33" s="88" t="s">
        <v>40</v>
      </c>
      <c r="P33" s="88" t="s">
        <v>41</v>
      </c>
      <c r="Q33" s="454" t="s">
        <v>60</v>
      </c>
      <c r="R33" s="455"/>
      <c r="S33" s="455"/>
      <c r="T33" s="455"/>
      <c r="U33" s="455"/>
      <c r="V33" s="456"/>
      <c r="W33" s="454" t="s">
        <v>61</v>
      </c>
      <c r="X33" s="455"/>
      <c r="Y33" s="455"/>
      <c r="Z33" s="456"/>
      <c r="AA33" s="454" t="s">
        <v>62</v>
      </c>
      <c r="AB33" s="455"/>
      <c r="AC33" s="455"/>
      <c r="AD33" s="457"/>
    </row>
    <row r="34" spans="1:41" ht="48" customHeight="1" x14ac:dyDescent="0.25">
      <c r="A34" s="643" t="s">
        <v>131</v>
      </c>
      <c r="B34" s="428">
        <f>B38+B40+B42+B44+B46+B48+B50</f>
        <v>4.9999999999999996E-2</v>
      </c>
      <c r="C34" s="90" t="s">
        <v>63</v>
      </c>
      <c r="D34" s="206">
        <f>D75</f>
        <v>0</v>
      </c>
      <c r="E34" s="206">
        <f t="shared" ref="E34:O34" si="0">E75</f>
        <v>0.22800000000000009</v>
      </c>
      <c r="F34" s="206">
        <f t="shared" si="0"/>
        <v>0.39200000000000018</v>
      </c>
      <c r="G34" s="206">
        <f t="shared" si="0"/>
        <v>0.34000000000000014</v>
      </c>
      <c r="H34" s="206">
        <f t="shared" si="0"/>
        <v>0.3680000000000001</v>
      </c>
      <c r="I34" s="206">
        <f t="shared" si="0"/>
        <v>0.32800000000000012</v>
      </c>
      <c r="J34" s="206">
        <f t="shared" si="0"/>
        <v>0.38800000000000012</v>
      </c>
      <c r="K34" s="206">
        <f t="shared" si="0"/>
        <v>0.38800000000000012</v>
      </c>
      <c r="L34" s="206">
        <f t="shared" si="0"/>
        <v>0.37200000000000016</v>
      </c>
      <c r="M34" s="206">
        <f t="shared" si="0"/>
        <v>0.41200000000000009</v>
      </c>
      <c r="N34" s="206">
        <f t="shared" si="0"/>
        <v>0.40800000000000014</v>
      </c>
      <c r="O34" s="206">
        <f t="shared" si="0"/>
        <v>0.37600000000000011</v>
      </c>
      <c r="P34" s="207">
        <f>SUM(D34:O34)</f>
        <v>4.0000000000000009</v>
      </c>
      <c r="Q34" s="667" t="s">
        <v>132</v>
      </c>
      <c r="R34" s="668"/>
      <c r="S34" s="668"/>
      <c r="T34" s="668"/>
      <c r="U34" s="668"/>
      <c r="V34" s="669"/>
      <c r="W34" s="430"/>
      <c r="X34" s="431"/>
      <c r="Y34" s="431"/>
      <c r="Z34" s="432"/>
      <c r="AA34" s="676" t="s">
        <v>133</v>
      </c>
      <c r="AB34" s="677"/>
      <c r="AC34" s="677"/>
      <c r="AD34" s="678"/>
      <c r="AG34" s="218"/>
      <c r="AH34" s="218"/>
      <c r="AI34" s="218"/>
      <c r="AJ34" s="218"/>
      <c r="AK34" s="218"/>
      <c r="AL34" s="218"/>
      <c r="AM34" s="218"/>
      <c r="AN34" s="218"/>
      <c r="AO34" s="218"/>
    </row>
    <row r="35" spans="1:41" ht="48" customHeight="1" thickBot="1" x14ac:dyDescent="0.3">
      <c r="A35" s="665"/>
      <c r="B35" s="666"/>
      <c r="C35" s="259" t="s">
        <v>64</v>
      </c>
      <c r="D35" s="260">
        <f>D72</f>
        <v>0</v>
      </c>
      <c r="E35" s="260">
        <f t="shared" ref="E35:O35" si="1">E72</f>
        <v>0.22800000000000009</v>
      </c>
      <c r="F35" s="260">
        <f t="shared" si="1"/>
        <v>0.31200000000000006</v>
      </c>
      <c r="G35" s="260">
        <f t="shared" si="1"/>
        <v>0.35600000000000009</v>
      </c>
      <c r="H35" s="260">
        <f t="shared" si="1"/>
        <v>0.3680000000000001</v>
      </c>
      <c r="I35" s="260">
        <f t="shared" si="1"/>
        <v>0.32800000000000012</v>
      </c>
      <c r="J35" s="260">
        <f t="shared" si="1"/>
        <v>0.38800000000000012</v>
      </c>
      <c r="K35" s="260">
        <f t="shared" si="1"/>
        <v>0.40400000000000008</v>
      </c>
      <c r="L35" s="260">
        <f t="shared" si="1"/>
        <v>0.41200000000000009</v>
      </c>
      <c r="M35" s="260">
        <f t="shared" si="1"/>
        <v>0.42000000000000015</v>
      </c>
      <c r="N35" s="260">
        <f t="shared" si="1"/>
        <v>0.40800000000000014</v>
      </c>
      <c r="O35" s="260">
        <f t="shared" si="1"/>
        <v>0.37600000000000011</v>
      </c>
      <c r="P35" s="261">
        <f>SUM(D35:O35)</f>
        <v>4.0000000000000009</v>
      </c>
      <c r="Q35" s="670"/>
      <c r="R35" s="671"/>
      <c r="S35" s="671"/>
      <c r="T35" s="671"/>
      <c r="U35" s="671"/>
      <c r="V35" s="672"/>
      <c r="W35" s="673"/>
      <c r="X35" s="674"/>
      <c r="Y35" s="674"/>
      <c r="Z35" s="675"/>
      <c r="AA35" s="679"/>
      <c r="AB35" s="680"/>
      <c r="AC35" s="680"/>
      <c r="AD35" s="681"/>
      <c r="AE35" s="219"/>
      <c r="AG35" s="218"/>
      <c r="AH35" s="218"/>
      <c r="AI35" s="218"/>
      <c r="AJ35" s="218"/>
      <c r="AK35" s="218"/>
      <c r="AL35" s="218"/>
      <c r="AM35" s="218"/>
      <c r="AN35" s="218"/>
      <c r="AO35" s="218"/>
    </row>
    <row r="36" spans="1:41" ht="15" customHeight="1" x14ac:dyDescent="0.25">
      <c r="A36" s="448" t="s">
        <v>65</v>
      </c>
      <c r="B36" s="419" t="s">
        <v>66</v>
      </c>
      <c r="C36" s="419" t="s">
        <v>67</v>
      </c>
      <c r="D36" s="419"/>
      <c r="E36" s="419"/>
      <c r="F36" s="419"/>
      <c r="G36" s="419"/>
      <c r="H36" s="419"/>
      <c r="I36" s="419"/>
      <c r="J36" s="419"/>
      <c r="K36" s="419"/>
      <c r="L36" s="419"/>
      <c r="M36" s="419"/>
      <c r="N36" s="419"/>
      <c r="O36" s="419"/>
      <c r="P36" s="419"/>
      <c r="Q36" s="419" t="s">
        <v>68</v>
      </c>
      <c r="R36" s="419"/>
      <c r="S36" s="419"/>
      <c r="T36" s="419"/>
      <c r="U36" s="419"/>
      <c r="V36" s="419"/>
      <c r="W36" s="419"/>
      <c r="X36" s="419"/>
      <c r="Y36" s="419"/>
      <c r="Z36" s="419"/>
      <c r="AA36" s="419"/>
      <c r="AB36" s="419"/>
      <c r="AC36" s="419"/>
      <c r="AD36" s="682"/>
    </row>
    <row r="37" spans="1:41" ht="28.5" x14ac:dyDescent="0.25">
      <c r="A37" s="571"/>
      <c r="B37" s="451"/>
      <c r="C37" s="88" t="s">
        <v>69</v>
      </c>
      <c r="D37" s="88" t="s">
        <v>70</v>
      </c>
      <c r="E37" s="88" t="s">
        <v>71</v>
      </c>
      <c r="F37" s="88" t="s">
        <v>72</v>
      </c>
      <c r="G37" s="88" t="s">
        <v>73</v>
      </c>
      <c r="H37" s="88" t="s">
        <v>74</v>
      </c>
      <c r="I37" s="88" t="s">
        <v>75</v>
      </c>
      <c r="J37" s="88" t="s">
        <v>76</v>
      </c>
      <c r="K37" s="88" t="s">
        <v>77</v>
      </c>
      <c r="L37" s="88" t="s">
        <v>78</v>
      </c>
      <c r="M37" s="88" t="s">
        <v>79</v>
      </c>
      <c r="N37" s="88" t="s">
        <v>80</v>
      </c>
      <c r="O37" s="88" t="s">
        <v>81</v>
      </c>
      <c r="P37" s="88" t="s">
        <v>82</v>
      </c>
      <c r="Q37" s="451" t="s">
        <v>83</v>
      </c>
      <c r="R37" s="451"/>
      <c r="S37" s="451"/>
      <c r="T37" s="451"/>
      <c r="U37" s="451"/>
      <c r="V37" s="451"/>
      <c r="W37" s="451"/>
      <c r="X37" s="451"/>
      <c r="Y37" s="451"/>
      <c r="Z37" s="451"/>
      <c r="AA37" s="451"/>
      <c r="AB37" s="451"/>
      <c r="AC37" s="451"/>
      <c r="AD37" s="453"/>
    </row>
    <row r="38" spans="1:41" ht="282.75" customHeight="1" x14ac:dyDescent="0.25">
      <c r="A38" s="380" t="s">
        <v>134</v>
      </c>
      <c r="B38" s="654">
        <v>5.0000000000000001E-3</v>
      </c>
      <c r="C38" s="102" t="s">
        <v>63</v>
      </c>
      <c r="D38" s="103">
        <v>0</v>
      </c>
      <c r="E38" s="103">
        <v>0.09</v>
      </c>
      <c r="F38" s="103">
        <v>0.09</v>
      </c>
      <c r="G38" s="103">
        <v>0.09</v>
      </c>
      <c r="H38" s="103">
        <v>0.09</v>
      </c>
      <c r="I38" s="103">
        <v>0.09</v>
      </c>
      <c r="J38" s="103">
        <v>0.09</v>
      </c>
      <c r="K38" s="103">
        <v>0.09</v>
      </c>
      <c r="L38" s="103">
        <v>0.09</v>
      </c>
      <c r="M38" s="103">
        <v>0.09</v>
      </c>
      <c r="N38" s="103">
        <v>0.09</v>
      </c>
      <c r="O38" s="103">
        <v>0.1</v>
      </c>
      <c r="P38" s="262">
        <f t="shared" ref="P38:P51" si="2">SUM(D38:O38)</f>
        <v>0.99999999999999978</v>
      </c>
      <c r="Q38" s="655" t="s">
        <v>571</v>
      </c>
      <c r="R38" s="655"/>
      <c r="S38" s="655"/>
      <c r="T38" s="655"/>
      <c r="U38" s="655"/>
      <c r="V38" s="655"/>
      <c r="W38" s="655"/>
      <c r="X38" s="655"/>
      <c r="Y38" s="655"/>
      <c r="Z38" s="655"/>
      <c r="AA38" s="655"/>
      <c r="AB38" s="655"/>
      <c r="AC38" s="655"/>
      <c r="AD38" s="656"/>
    </row>
    <row r="39" spans="1:41" ht="282.75" customHeight="1" x14ac:dyDescent="0.25">
      <c r="A39" s="380"/>
      <c r="B39" s="654"/>
      <c r="C39" s="99" t="s">
        <v>64</v>
      </c>
      <c r="D39" s="100">
        <v>0</v>
      </c>
      <c r="E39" s="100">
        <v>0.09</v>
      </c>
      <c r="F39" s="100">
        <v>0.09</v>
      </c>
      <c r="G39" s="100">
        <v>0.09</v>
      </c>
      <c r="H39" s="100">
        <v>0.09</v>
      </c>
      <c r="I39" s="100">
        <v>0.09</v>
      </c>
      <c r="J39" s="100">
        <v>0.09</v>
      </c>
      <c r="K39" s="100">
        <v>0.09</v>
      </c>
      <c r="L39" s="100">
        <v>0.09</v>
      </c>
      <c r="M39" s="100">
        <v>0.09</v>
      </c>
      <c r="N39" s="100">
        <v>0.09</v>
      </c>
      <c r="O39" s="100">
        <v>0.1</v>
      </c>
      <c r="P39" s="295">
        <f t="shared" si="2"/>
        <v>0.99999999999999978</v>
      </c>
      <c r="Q39" s="655"/>
      <c r="R39" s="655"/>
      <c r="S39" s="655"/>
      <c r="T39" s="655"/>
      <c r="U39" s="655"/>
      <c r="V39" s="655"/>
      <c r="W39" s="655"/>
      <c r="X39" s="655"/>
      <c r="Y39" s="655"/>
      <c r="Z39" s="655"/>
      <c r="AA39" s="655"/>
      <c r="AB39" s="655"/>
      <c r="AC39" s="655"/>
      <c r="AD39" s="656"/>
    </row>
    <row r="40" spans="1:41" ht="257.25" customHeight="1" x14ac:dyDescent="0.25">
      <c r="A40" s="380" t="s">
        <v>135</v>
      </c>
      <c r="B40" s="654">
        <v>5.0000000000000001E-3</v>
      </c>
      <c r="C40" s="102" t="s">
        <v>63</v>
      </c>
      <c r="D40" s="103">
        <v>0</v>
      </c>
      <c r="E40" s="103">
        <v>0.08</v>
      </c>
      <c r="F40" s="103">
        <v>0.14000000000000001</v>
      </c>
      <c r="G40" s="103">
        <v>0.08</v>
      </c>
      <c r="H40" s="103">
        <v>0.08</v>
      </c>
      <c r="I40" s="103">
        <v>0.08</v>
      </c>
      <c r="J40" s="103">
        <v>0.08</v>
      </c>
      <c r="K40" s="103">
        <v>0.08</v>
      </c>
      <c r="L40" s="103">
        <v>0.08</v>
      </c>
      <c r="M40" s="103">
        <v>0.14000000000000001</v>
      </c>
      <c r="N40" s="103">
        <v>0.08</v>
      </c>
      <c r="O40" s="103">
        <v>0.08</v>
      </c>
      <c r="P40" s="295">
        <f t="shared" si="2"/>
        <v>0.99999999999999989</v>
      </c>
      <c r="Q40" s="655" t="s">
        <v>572</v>
      </c>
      <c r="R40" s="655"/>
      <c r="S40" s="655"/>
      <c r="T40" s="655"/>
      <c r="U40" s="655"/>
      <c r="V40" s="655"/>
      <c r="W40" s="655"/>
      <c r="X40" s="655"/>
      <c r="Y40" s="655"/>
      <c r="Z40" s="655"/>
      <c r="AA40" s="655"/>
      <c r="AB40" s="655"/>
      <c r="AC40" s="655"/>
      <c r="AD40" s="656"/>
    </row>
    <row r="41" spans="1:41" ht="257.25" customHeight="1" x14ac:dyDescent="0.25">
      <c r="A41" s="380"/>
      <c r="B41" s="654"/>
      <c r="C41" s="99" t="s">
        <v>64</v>
      </c>
      <c r="D41" s="100">
        <v>0</v>
      </c>
      <c r="E41" s="100">
        <v>0.08</v>
      </c>
      <c r="F41" s="100">
        <v>0.14000000000000001</v>
      </c>
      <c r="G41" s="100">
        <v>0.08</v>
      </c>
      <c r="H41" s="100">
        <v>0.08</v>
      </c>
      <c r="I41" s="100">
        <v>0.08</v>
      </c>
      <c r="J41" s="100">
        <v>0.08</v>
      </c>
      <c r="K41" s="100">
        <v>0.08</v>
      </c>
      <c r="L41" s="100">
        <v>0.08</v>
      </c>
      <c r="M41" s="100">
        <v>0.14000000000000001</v>
      </c>
      <c r="N41" s="100">
        <v>0.08</v>
      </c>
      <c r="O41" s="100">
        <v>0.08</v>
      </c>
      <c r="P41" s="295">
        <f t="shared" si="2"/>
        <v>0.99999999999999989</v>
      </c>
      <c r="Q41" s="655"/>
      <c r="R41" s="655"/>
      <c r="S41" s="655"/>
      <c r="T41" s="655"/>
      <c r="U41" s="655"/>
      <c r="V41" s="655"/>
      <c r="W41" s="655"/>
      <c r="X41" s="655"/>
      <c r="Y41" s="655"/>
      <c r="Z41" s="655"/>
      <c r="AA41" s="655"/>
      <c r="AB41" s="655"/>
      <c r="AC41" s="655"/>
      <c r="AD41" s="656"/>
    </row>
    <row r="42" spans="1:41" ht="103.5" customHeight="1" x14ac:dyDescent="0.25">
      <c r="A42" s="657" t="s">
        <v>136</v>
      </c>
      <c r="B42" s="654">
        <v>0.01</v>
      </c>
      <c r="C42" s="102" t="s">
        <v>63</v>
      </c>
      <c r="D42" s="103">
        <v>0</v>
      </c>
      <c r="E42" s="103">
        <v>0</v>
      </c>
      <c r="F42" s="103">
        <v>0.1</v>
      </c>
      <c r="G42" s="103">
        <v>0.1</v>
      </c>
      <c r="H42" s="103">
        <v>0.1</v>
      </c>
      <c r="I42" s="103">
        <v>0.1</v>
      </c>
      <c r="J42" s="103">
        <v>0.1</v>
      </c>
      <c r="K42" s="103">
        <v>0.1</v>
      </c>
      <c r="L42" s="103">
        <v>0.1</v>
      </c>
      <c r="M42" s="103">
        <v>0.1</v>
      </c>
      <c r="N42" s="103">
        <v>0.1</v>
      </c>
      <c r="O42" s="103">
        <v>0.1</v>
      </c>
      <c r="P42" s="295">
        <f t="shared" si="2"/>
        <v>0.99999999999999989</v>
      </c>
      <c r="Q42" s="655" t="s">
        <v>573</v>
      </c>
      <c r="R42" s="655"/>
      <c r="S42" s="655"/>
      <c r="T42" s="655"/>
      <c r="U42" s="655"/>
      <c r="V42" s="655"/>
      <c r="W42" s="655"/>
      <c r="X42" s="655"/>
      <c r="Y42" s="655"/>
      <c r="Z42" s="655"/>
      <c r="AA42" s="655"/>
      <c r="AB42" s="655"/>
      <c r="AC42" s="655"/>
      <c r="AD42" s="656"/>
    </row>
    <row r="43" spans="1:41" ht="103.5" customHeight="1" x14ac:dyDescent="0.25">
      <c r="A43" s="657"/>
      <c r="B43" s="654"/>
      <c r="C43" s="99" t="s">
        <v>64</v>
      </c>
      <c r="D43" s="100">
        <v>0</v>
      </c>
      <c r="E43" s="100">
        <v>0</v>
      </c>
      <c r="F43" s="100">
        <v>0</v>
      </c>
      <c r="G43" s="100">
        <v>0.12</v>
      </c>
      <c r="H43" s="100">
        <v>0.1</v>
      </c>
      <c r="I43" s="100">
        <v>0.1</v>
      </c>
      <c r="J43" s="100">
        <v>0.1</v>
      </c>
      <c r="K43" s="100">
        <v>0.12</v>
      </c>
      <c r="L43" s="100">
        <v>0.15</v>
      </c>
      <c r="M43" s="100">
        <v>0.11</v>
      </c>
      <c r="N43" s="100">
        <v>0.1</v>
      </c>
      <c r="O43" s="100">
        <v>0.1</v>
      </c>
      <c r="P43" s="295">
        <f t="shared" si="2"/>
        <v>1</v>
      </c>
      <c r="Q43" s="655"/>
      <c r="R43" s="655"/>
      <c r="S43" s="655"/>
      <c r="T43" s="655"/>
      <c r="U43" s="655"/>
      <c r="V43" s="655"/>
      <c r="W43" s="655"/>
      <c r="X43" s="655"/>
      <c r="Y43" s="655"/>
      <c r="Z43" s="655"/>
      <c r="AA43" s="655"/>
      <c r="AB43" s="655"/>
      <c r="AC43" s="655"/>
      <c r="AD43" s="656"/>
    </row>
    <row r="44" spans="1:41" ht="341.25" customHeight="1" x14ac:dyDescent="0.25">
      <c r="A44" s="380" t="s">
        <v>137</v>
      </c>
      <c r="B44" s="654">
        <v>0.01</v>
      </c>
      <c r="C44" s="102" t="s">
        <v>63</v>
      </c>
      <c r="D44" s="103">
        <v>0</v>
      </c>
      <c r="E44" s="103">
        <v>0.08</v>
      </c>
      <c r="F44" s="103">
        <v>0.08</v>
      </c>
      <c r="G44" s="103">
        <v>0.08</v>
      </c>
      <c r="H44" s="103">
        <v>0.08</v>
      </c>
      <c r="I44" s="103">
        <v>0.08</v>
      </c>
      <c r="J44" s="103">
        <v>0.1</v>
      </c>
      <c r="K44" s="103">
        <v>0.1</v>
      </c>
      <c r="L44" s="103">
        <v>0.1</v>
      </c>
      <c r="M44" s="103">
        <v>0.1</v>
      </c>
      <c r="N44" s="103">
        <v>0.1</v>
      </c>
      <c r="O44" s="103">
        <v>0.1</v>
      </c>
      <c r="P44" s="262">
        <f t="shared" si="2"/>
        <v>0.99999999999999989</v>
      </c>
      <c r="Q44" s="663" t="s">
        <v>574</v>
      </c>
      <c r="R44" s="663"/>
      <c r="S44" s="663"/>
      <c r="T44" s="663"/>
      <c r="U44" s="663"/>
      <c r="V44" s="663"/>
      <c r="W44" s="663"/>
      <c r="X44" s="663"/>
      <c r="Y44" s="663"/>
      <c r="Z44" s="663"/>
      <c r="AA44" s="663"/>
      <c r="AB44" s="663"/>
      <c r="AC44" s="663"/>
      <c r="AD44" s="664"/>
    </row>
    <row r="45" spans="1:41" ht="341.25" customHeight="1" x14ac:dyDescent="0.25">
      <c r="A45" s="662"/>
      <c r="B45" s="654"/>
      <c r="C45" s="99" t="s">
        <v>64</v>
      </c>
      <c r="D45" s="100">
        <v>0</v>
      </c>
      <c r="E45" s="100">
        <v>0.08</v>
      </c>
      <c r="F45" s="100">
        <v>0.08</v>
      </c>
      <c r="G45" s="100">
        <v>0.08</v>
      </c>
      <c r="H45" s="100">
        <v>0.08</v>
      </c>
      <c r="I45" s="100">
        <v>0.08</v>
      </c>
      <c r="J45" s="100">
        <v>0.1</v>
      </c>
      <c r="K45" s="100">
        <v>0.1</v>
      </c>
      <c r="L45" s="100">
        <v>0.1</v>
      </c>
      <c r="M45" s="100">
        <v>0.1</v>
      </c>
      <c r="N45" s="100">
        <v>0.1</v>
      </c>
      <c r="O45" s="100">
        <v>0.1</v>
      </c>
      <c r="P45" s="262">
        <f t="shared" si="2"/>
        <v>0.99999999999999989</v>
      </c>
      <c r="Q45" s="663"/>
      <c r="R45" s="663"/>
      <c r="S45" s="663"/>
      <c r="T45" s="663"/>
      <c r="U45" s="663"/>
      <c r="V45" s="663"/>
      <c r="W45" s="663"/>
      <c r="X45" s="663"/>
      <c r="Y45" s="663"/>
      <c r="Z45" s="663"/>
      <c r="AA45" s="663"/>
      <c r="AB45" s="663"/>
      <c r="AC45" s="663"/>
      <c r="AD45" s="664"/>
    </row>
    <row r="46" spans="1:41" ht="375" customHeight="1" x14ac:dyDescent="0.25">
      <c r="A46" s="657" t="s">
        <v>138</v>
      </c>
      <c r="B46" s="654">
        <v>5.0000000000000001E-3</v>
      </c>
      <c r="C46" s="102" t="s">
        <v>63</v>
      </c>
      <c r="D46" s="103">
        <v>0</v>
      </c>
      <c r="E46" s="103">
        <v>0.08</v>
      </c>
      <c r="F46" s="103">
        <v>0.08</v>
      </c>
      <c r="G46" s="103">
        <v>0.08</v>
      </c>
      <c r="H46" s="103">
        <v>0.08</v>
      </c>
      <c r="I46" s="103">
        <v>0.08</v>
      </c>
      <c r="J46" s="103">
        <v>0.1</v>
      </c>
      <c r="K46" s="103">
        <v>0.1</v>
      </c>
      <c r="L46" s="103">
        <v>0.1</v>
      </c>
      <c r="M46" s="103">
        <v>0.1</v>
      </c>
      <c r="N46" s="103">
        <v>0.1</v>
      </c>
      <c r="O46" s="103">
        <v>0.1</v>
      </c>
      <c r="P46" s="262">
        <f t="shared" si="2"/>
        <v>0.99999999999999989</v>
      </c>
      <c r="Q46" s="655" t="s">
        <v>575</v>
      </c>
      <c r="R46" s="655"/>
      <c r="S46" s="655"/>
      <c r="T46" s="655"/>
      <c r="U46" s="655"/>
      <c r="V46" s="655"/>
      <c r="W46" s="655"/>
      <c r="X46" s="655"/>
      <c r="Y46" s="655"/>
      <c r="Z46" s="655"/>
      <c r="AA46" s="655"/>
      <c r="AB46" s="655"/>
      <c r="AC46" s="655"/>
      <c r="AD46" s="656"/>
    </row>
    <row r="47" spans="1:41" ht="375" customHeight="1" x14ac:dyDescent="0.25">
      <c r="A47" s="657"/>
      <c r="B47" s="654"/>
      <c r="C47" s="99" t="s">
        <v>64</v>
      </c>
      <c r="D47" s="100">
        <v>0</v>
      </c>
      <c r="E47" s="100">
        <v>0.08</v>
      </c>
      <c r="F47" s="100">
        <v>0.08</v>
      </c>
      <c r="G47" s="100">
        <v>0.08</v>
      </c>
      <c r="H47" s="100">
        <v>0.08</v>
      </c>
      <c r="I47" s="100">
        <v>0.08</v>
      </c>
      <c r="J47" s="100">
        <v>0.1</v>
      </c>
      <c r="K47" s="100">
        <v>0.1</v>
      </c>
      <c r="L47" s="100">
        <v>0.1</v>
      </c>
      <c r="M47" s="100">
        <v>0.1</v>
      </c>
      <c r="N47" s="100">
        <v>0.1</v>
      </c>
      <c r="O47" s="100">
        <v>0.1</v>
      </c>
      <c r="P47" s="262">
        <f t="shared" si="2"/>
        <v>0.99999999999999989</v>
      </c>
      <c r="Q47" s="655"/>
      <c r="R47" s="655"/>
      <c r="S47" s="655"/>
      <c r="T47" s="655"/>
      <c r="U47" s="655"/>
      <c r="V47" s="655"/>
      <c r="W47" s="655"/>
      <c r="X47" s="655"/>
      <c r="Y47" s="655"/>
      <c r="Z47" s="655"/>
      <c r="AA47" s="655"/>
      <c r="AB47" s="655"/>
      <c r="AC47" s="655"/>
      <c r="AD47" s="656"/>
    </row>
    <row r="48" spans="1:41" ht="128.25" customHeight="1" x14ac:dyDescent="0.25">
      <c r="A48" s="380" t="s">
        <v>139</v>
      </c>
      <c r="B48" s="654">
        <v>5.0000000000000001E-3</v>
      </c>
      <c r="C48" s="102" t="s">
        <v>63</v>
      </c>
      <c r="D48" s="103">
        <v>0</v>
      </c>
      <c r="E48" s="103">
        <v>0</v>
      </c>
      <c r="F48" s="103">
        <v>0.15</v>
      </c>
      <c r="G48" s="103">
        <v>0.08</v>
      </c>
      <c r="H48" s="103">
        <v>0.15</v>
      </c>
      <c r="I48" s="103">
        <v>0.05</v>
      </c>
      <c r="J48" s="103">
        <v>0.1</v>
      </c>
      <c r="K48" s="103">
        <v>0.1</v>
      </c>
      <c r="L48" s="103">
        <v>0.06</v>
      </c>
      <c r="M48" s="103">
        <v>0.1</v>
      </c>
      <c r="N48" s="103">
        <v>0.15</v>
      </c>
      <c r="O48" s="103">
        <v>0.06</v>
      </c>
      <c r="P48" s="262">
        <f t="shared" si="2"/>
        <v>1</v>
      </c>
      <c r="Q48" s="655" t="s">
        <v>576</v>
      </c>
      <c r="R48" s="655"/>
      <c r="S48" s="655"/>
      <c r="T48" s="655"/>
      <c r="U48" s="655"/>
      <c r="V48" s="655"/>
      <c r="W48" s="655"/>
      <c r="X48" s="655"/>
      <c r="Y48" s="655"/>
      <c r="Z48" s="655"/>
      <c r="AA48" s="655"/>
      <c r="AB48" s="655"/>
      <c r="AC48" s="655"/>
      <c r="AD48" s="656"/>
    </row>
    <row r="49" spans="1:51" ht="128.25" customHeight="1" x14ac:dyDescent="0.25">
      <c r="A49" s="380"/>
      <c r="B49" s="654"/>
      <c r="C49" s="99" t="s">
        <v>64</v>
      </c>
      <c r="D49" s="100">
        <v>0</v>
      </c>
      <c r="E49" s="100">
        <v>0</v>
      </c>
      <c r="F49" s="100">
        <v>0.15</v>
      </c>
      <c r="G49" s="100">
        <v>0.08</v>
      </c>
      <c r="H49" s="100">
        <v>0.15</v>
      </c>
      <c r="I49" s="100">
        <v>0.05</v>
      </c>
      <c r="J49" s="100">
        <v>0.1</v>
      </c>
      <c r="K49" s="100">
        <v>0.1</v>
      </c>
      <c r="L49" s="100">
        <v>0.06</v>
      </c>
      <c r="M49" s="100">
        <v>0.1</v>
      </c>
      <c r="N49" s="351">
        <v>0.15</v>
      </c>
      <c r="O49" s="100">
        <v>0.06</v>
      </c>
      <c r="P49" s="262">
        <f t="shared" si="2"/>
        <v>1</v>
      </c>
      <c r="Q49" s="655"/>
      <c r="R49" s="655"/>
      <c r="S49" s="655"/>
      <c r="T49" s="655"/>
      <c r="U49" s="655"/>
      <c r="V49" s="655"/>
      <c r="W49" s="655"/>
      <c r="X49" s="655"/>
      <c r="Y49" s="655"/>
      <c r="Z49" s="655"/>
      <c r="AA49" s="655"/>
      <c r="AB49" s="655"/>
      <c r="AC49" s="655"/>
      <c r="AD49" s="656"/>
    </row>
    <row r="50" spans="1:51" ht="358.5" customHeight="1" x14ac:dyDescent="0.25">
      <c r="A50" s="657" t="s">
        <v>140</v>
      </c>
      <c r="B50" s="654">
        <v>0.01</v>
      </c>
      <c r="C50" s="102" t="s">
        <v>63</v>
      </c>
      <c r="D50" s="103">
        <v>0</v>
      </c>
      <c r="E50" s="103">
        <v>0.08</v>
      </c>
      <c r="F50" s="103">
        <v>0.08</v>
      </c>
      <c r="G50" s="103">
        <v>0.08</v>
      </c>
      <c r="H50" s="103">
        <v>0.08</v>
      </c>
      <c r="I50" s="103">
        <v>0.08</v>
      </c>
      <c r="J50" s="103">
        <v>0.1</v>
      </c>
      <c r="K50" s="103">
        <v>0.1</v>
      </c>
      <c r="L50" s="103">
        <v>0.1</v>
      </c>
      <c r="M50" s="103">
        <v>0.1</v>
      </c>
      <c r="N50" s="103">
        <v>0.1</v>
      </c>
      <c r="O50" s="103">
        <v>0.1</v>
      </c>
      <c r="P50" s="262">
        <f t="shared" si="2"/>
        <v>0.99999999999999989</v>
      </c>
      <c r="Q50" s="655" t="s">
        <v>577</v>
      </c>
      <c r="R50" s="655"/>
      <c r="S50" s="655"/>
      <c r="T50" s="655"/>
      <c r="U50" s="655"/>
      <c r="V50" s="655"/>
      <c r="W50" s="655"/>
      <c r="X50" s="655"/>
      <c r="Y50" s="655"/>
      <c r="Z50" s="655"/>
      <c r="AA50" s="655"/>
      <c r="AB50" s="655"/>
      <c r="AC50" s="655"/>
      <c r="AD50" s="656"/>
    </row>
    <row r="51" spans="1:51" ht="358.5" customHeight="1" thickBot="1" x14ac:dyDescent="0.3">
      <c r="A51" s="658"/>
      <c r="B51" s="659"/>
      <c r="C51" s="91" t="s">
        <v>64</v>
      </c>
      <c r="D51" s="105">
        <v>0</v>
      </c>
      <c r="E51" s="105">
        <v>0.08</v>
      </c>
      <c r="F51" s="105">
        <v>0.08</v>
      </c>
      <c r="G51" s="105">
        <v>0.08</v>
      </c>
      <c r="H51" s="105">
        <v>0.08</v>
      </c>
      <c r="I51" s="105">
        <v>0.08</v>
      </c>
      <c r="J51" s="105">
        <v>0.1</v>
      </c>
      <c r="K51" s="105">
        <v>0.1</v>
      </c>
      <c r="L51" s="105">
        <v>0.1</v>
      </c>
      <c r="M51" s="105">
        <v>0.1</v>
      </c>
      <c r="N51" s="105">
        <v>0.1</v>
      </c>
      <c r="O51" s="105">
        <v>0.1</v>
      </c>
      <c r="P51" s="263">
        <f t="shared" si="2"/>
        <v>0.99999999999999989</v>
      </c>
      <c r="Q51" s="660"/>
      <c r="R51" s="660"/>
      <c r="S51" s="660"/>
      <c r="T51" s="660"/>
      <c r="U51" s="660"/>
      <c r="V51" s="660"/>
      <c r="W51" s="660"/>
      <c r="X51" s="660"/>
      <c r="Y51" s="660"/>
      <c r="Z51" s="660"/>
      <c r="AA51" s="660"/>
      <c r="AB51" s="660"/>
      <c r="AC51" s="660"/>
      <c r="AD51" s="661"/>
    </row>
    <row r="55" spans="1:51" s="250" customFormat="1" ht="21.75" customHeight="1" x14ac:dyDescent="0.25">
      <c r="A55" s="382" t="s">
        <v>92</v>
      </c>
      <c r="B55" s="382" t="s">
        <v>66</v>
      </c>
      <c r="C55" s="370" t="s">
        <v>67</v>
      </c>
      <c r="D55" s="371"/>
      <c r="E55" s="371"/>
      <c r="F55" s="371"/>
      <c r="G55" s="371"/>
      <c r="H55" s="371"/>
      <c r="I55" s="371"/>
      <c r="J55" s="371"/>
      <c r="K55" s="371"/>
      <c r="L55" s="371"/>
      <c r="M55" s="371"/>
      <c r="N55" s="371"/>
      <c r="O55" s="371"/>
      <c r="P55" s="372"/>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row>
    <row r="56" spans="1:51" s="250" customFormat="1" ht="21.75" customHeight="1" x14ac:dyDescent="0.25">
      <c r="A56" s="383"/>
      <c r="B56" s="383"/>
      <c r="C56" s="190" t="s">
        <v>69</v>
      </c>
      <c r="D56" s="190" t="s">
        <v>70</v>
      </c>
      <c r="E56" s="190" t="s">
        <v>71</v>
      </c>
      <c r="F56" s="190" t="s">
        <v>72</v>
      </c>
      <c r="G56" s="190" t="s">
        <v>73</v>
      </c>
      <c r="H56" s="190" t="s">
        <v>74</v>
      </c>
      <c r="I56" s="190" t="s">
        <v>75</v>
      </c>
      <c r="J56" s="190" t="s">
        <v>76</v>
      </c>
      <c r="K56" s="190" t="s">
        <v>77</v>
      </c>
      <c r="L56" s="190" t="s">
        <v>78</v>
      </c>
      <c r="M56" s="190" t="s">
        <v>79</v>
      </c>
      <c r="N56" s="190" t="s">
        <v>80</v>
      </c>
      <c r="O56" s="190" t="s">
        <v>81</v>
      </c>
      <c r="P56" s="190" t="s">
        <v>82</v>
      </c>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row>
    <row r="57" spans="1:51" s="250" customFormat="1" ht="12.75" customHeight="1" x14ac:dyDescent="0.25">
      <c r="A57" s="373" t="str">
        <f>A38</f>
        <v xml:space="preserve">29. Acompañar técnica y operativamente el desarrollo de la Mesa coordinadora y la plenaria del espacio autónomo del Consejo Consultivo de Mujeres </v>
      </c>
      <c r="B57" s="375">
        <f>B38</f>
        <v>5.0000000000000001E-3</v>
      </c>
      <c r="C57" s="191" t="s">
        <v>63</v>
      </c>
      <c r="D57" s="222">
        <f>D38*$B$38/$P$38</f>
        <v>0</v>
      </c>
      <c r="E57" s="222">
        <f t="shared" ref="E57:O58" si="3">E38*$B$38/$P$38</f>
        <v>4.500000000000001E-4</v>
      </c>
      <c r="F57" s="222">
        <f t="shared" si="3"/>
        <v>4.500000000000001E-4</v>
      </c>
      <c r="G57" s="222">
        <f t="shared" si="3"/>
        <v>4.500000000000001E-4</v>
      </c>
      <c r="H57" s="222">
        <f t="shared" si="3"/>
        <v>4.500000000000001E-4</v>
      </c>
      <c r="I57" s="222">
        <f t="shared" si="3"/>
        <v>4.500000000000001E-4</v>
      </c>
      <c r="J57" s="222">
        <f t="shared" si="3"/>
        <v>4.500000000000001E-4</v>
      </c>
      <c r="K57" s="222">
        <f t="shared" si="3"/>
        <v>4.500000000000001E-4</v>
      </c>
      <c r="L57" s="222">
        <f t="shared" si="3"/>
        <v>4.500000000000001E-4</v>
      </c>
      <c r="M57" s="222">
        <f t="shared" si="3"/>
        <v>4.500000000000001E-4</v>
      </c>
      <c r="N57" s="222">
        <f t="shared" si="3"/>
        <v>4.500000000000001E-4</v>
      </c>
      <c r="O57" s="222">
        <f t="shared" si="3"/>
        <v>5.0000000000000012E-4</v>
      </c>
      <c r="P57" s="223">
        <f t="shared" ref="P57:P60" si="4">SUM(D57:O57)</f>
        <v>5.0000000000000001E-3</v>
      </c>
      <c r="Q57" s="108">
        <v>0.05</v>
      </c>
      <c r="R57" s="224">
        <f>+P57-Q57</f>
        <v>-4.5000000000000005E-2</v>
      </c>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05"/>
      <c r="AR57" s="205"/>
      <c r="AS57" s="205"/>
      <c r="AT57" s="205"/>
      <c r="AU57" s="205"/>
      <c r="AV57" s="205"/>
      <c r="AW57" s="205"/>
      <c r="AX57" s="205"/>
      <c r="AY57" s="205"/>
    </row>
    <row r="58" spans="1:51" s="250" customFormat="1" ht="12.75" customHeight="1" x14ac:dyDescent="0.25">
      <c r="A58" s="374"/>
      <c r="B58" s="376"/>
      <c r="C58" s="196" t="s">
        <v>64</v>
      </c>
      <c r="D58" s="226">
        <f>D39*$B$38/$P$38</f>
        <v>0</v>
      </c>
      <c r="E58" s="226">
        <f t="shared" si="3"/>
        <v>4.500000000000001E-4</v>
      </c>
      <c r="F58" s="226">
        <f t="shared" si="3"/>
        <v>4.500000000000001E-4</v>
      </c>
      <c r="G58" s="226">
        <f t="shared" si="3"/>
        <v>4.500000000000001E-4</v>
      </c>
      <c r="H58" s="226">
        <f t="shared" si="3"/>
        <v>4.500000000000001E-4</v>
      </c>
      <c r="I58" s="226">
        <f t="shared" si="3"/>
        <v>4.500000000000001E-4</v>
      </c>
      <c r="J58" s="226">
        <f t="shared" si="3"/>
        <v>4.500000000000001E-4</v>
      </c>
      <c r="K58" s="226">
        <f t="shared" si="3"/>
        <v>4.500000000000001E-4</v>
      </c>
      <c r="L58" s="226">
        <f t="shared" si="3"/>
        <v>4.500000000000001E-4</v>
      </c>
      <c r="M58" s="226">
        <f t="shared" si="3"/>
        <v>4.500000000000001E-4</v>
      </c>
      <c r="N58" s="226">
        <f t="shared" si="3"/>
        <v>4.500000000000001E-4</v>
      </c>
      <c r="O58" s="226">
        <f t="shared" si="3"/>
        <v>5.0000000000000012E-4</v>
      </c>
      <c r="P58" s="227">
        <f t="shared" si="4"/>
        <v>5.0000000000000001E-3</v>
      </c>
      <c r="Q58" s="228">
        <f>+P58</f>
        <v>5.0000000000000001E-3</v>
      </c>
      <c r="R58" s="224">
        <f t="shared" ref="R58:R70" si="5">+P58-Q58</f>
        <v>0</v>
      </c>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05"/>
      <c r="AR58" s="205"/>
      <c r="AS58" s="205"/>
      <c r="AT58" s="205"/>
      <c r="AU58" s="205"/>
      <c r="AV58" s="205"/>
      <c r="AW58" s="205"/>
      <c r="AX58" s="205"/>
      <c r="AY58" s="205"/>
    </row>
    <row r="59" spans="1:51" s="250" customFormat="1" ht="12.75" customHeight="1" x14ac:dyDescent="0.25">
      <c r="A59" s="373" t="str">
        <f>A40</f>
        <v>30. Acompañar técnicamente el desarrollo de las mesas de trabajo con los sectores de la administración distrital y hacerle seguimiento a los compromisos adquiridos por la administración distrital en el marco del Consejo Consultivo de Mujeres - EA.</v>
      </c>
      <c r="B59" s="378">
        <f>B40</f>
        <v>5.0000000000000001E-3</v>
      </c>
      <c r="C59" s="191" t="s">
        <v>63</v>
      </c>
      <c r="D59" s="222">
        <f>D40*$B$40/$P$40</f>
        <v>0</v>
      </c>
      <c r="E59" s="222">
        <f t="shared" ref="E59:O60" si="6">E40*$B$40/$P$40</f>
        <v>4.0000000000000007E-4</v>
      </c>
      <c r="F59" s="222">
        <f t="shared" si="6"/>
        <v>7.0000000000000021E-4</v>
      </c>
      <c r="G59" s="222">
        <f t="shared" si="6"/>
        <v>4.0000000000000007E-4</v>
      </c>
      <c r="H59" s="222">
        <f t="shared" si="6"/>
        <v>4.0000000000000007E-4</v>
      </c>
      <c r="I59" s="222">
        <f t="shared" si="6"/>
        <v>4.0000000000000007E-4</v>
      </c>
      <c r="J59" s="222">
        <f t="shared" si="6"/>
        <v>4.0000000000000007E-4</v>
      </c>
      <c r="K59" s="222">
        <f t="shared" si="6"/>
        <v>4.0000000000000007E-4</v>
      </c>
      <c r="L59" s="222">
        <f t="shared" si="6"/>
        <v>4.0000000000000007E-4</v>
      </c>
      <c r="M59" s="222">
        <f t="shared" si="6"/>
        <v>7.0000000000000021E-4</v>
      </c>
      <c r="N59" s="222">
        <f t="shared" si="6"/>
        <v>4.0000000000000007E-4</v>
      </c>
      <c r="O59" s="222">
        <f t="shared" si="6"/>
        <v>4.0000000000000007E-4</v>
      </c>
      <c r="P59" s="223">
        <f t="shared" si="4"/>
        <v>5.0000000000000018E-3</v>
      </c>
      <c r="Q59" s="108">
        <v>2.5000000000000001E-2</v>
      </c>
      <c r="R59" s="224">
        <f t="shared" si="5"/>
        <v>-0.02</v>
      </c>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5"/>
      <c r="AP59" s="225"/>
      <c r="AQ59" s="205"/>
      <c r="AR59" s="205"/>
      <c r="AS59" s="205"/>
      <c r="AT59" s="205"/>
      <c r="AU59" s="205"/>
      <c r="AV59" s="205"/>
      <c r="AW59" s="205"/>
      <c r="AX59" s="205"/>
      <c r="AY59" s="205"/>
    </row>
    <row r="60" spans="1:51" s="250" customFormat="1" ht="12.75" customHeight="1" x14ac:dyDescent="0.25">
      <c r="A60" s="377"/>
      <c r="B60" s="379"/>
      <c r="C60" s="196" t="s">
        <v>64</v>
      </c>
      <c r="D60" s="226">
        <f>D41*$B$40/$P$40</f>
        <v>0</v>
      </c>
      <c r="E60" s="226">
        <f t="shared" si="6"/>
        <v>4.0000000000000007E-4</v>
      </c>
      <c r="F60" s="226">
        <f t="shared" si="6"/>
        <v>7.0000000000000021E-4</v>
      </c>
      <c r="G60" s="226">
        <f t="shared" si="6"/>
        <v>4.0000000000000007E-4</v>
      </c>
      <c r="H60" s="226">
        <f t="shared" si="6"/>
        <v>4.0000000000000007E-4</v>
      </c>
      <c r="I60" s="226">
        <f t="shared" si="6"/>
        <v>4.0000000000000007E-4</v>
      </c>
      <c r="J60" s="226">
        <f t="shared" si="6"/>
        <v>4.0000000000000007E-4</v>
      </c>
      <c r="K60" s="226">
        <f t="shared" si="6"/>
        <v>4.0000000000000007E-4</v>
      </c>
      <c r="L60" s="226">
        <f t="shared" si="6"/>
        <v>4.0000000000000007E-4</v>
      </c>
      <c r="M60" s="226">
        <f t="shared" si="6"/>
        <v>7.0000000000000021E-4</v>
      </c>
      <c r="N60" s="226">
        <f t="shared" si="6"/>
        <v>4.0000000000000007E-4</v>
      </c>
      <c r="O60" s="226">
        <f t="shared" si="6"/>
        <v>4.0000000000000007E-4</v>
      </c>
      <c r="P60" s="227">
        <f t="shared" si="4"/>
        <v>5.0000000000000018E-3</v>
      </c>
      <c r="Q60" s="228">
        <f>+P60</f>
        <v>5.0000000000000018E-3</v>
      </c>
      <c r="R60" s="224">
        <f t="shared" si="5"/>
        <v>0</v>
      </c>
      <c r="S60" s="225"/>
      <c r="T60" s="225"/>
      <c r="U60" s="225"/>
      <c r="V60" s="225"/>
      <c r="W60" s="225"/>
      <c r="X60" s="225"/>
      <c r="Y60" s="225"/>
      <c r="Z60" s="225"/>
      <c r="AA60" s="225"/>
      <c r="AB60" s="225"/>
      <c r="AC60" s="225"/>
      <c r="AD60" s="225"/>
      <c r="AE60" s="225"/>
      <c r="AF60" s="225"/>
      <c r="AG60" s="225"/>
      <c r="AH60" s="225"/>
      <c r="AI60" s="225"/>
      <c r="AJ60" s="225"/>
      <c r="AK60" s="225"/>
      <c r="AL60" s="225"/>
      <c r="AM60" s="225"/>
      <c r="AN60" s="225"/>
      <c r="AO60" s="225"/>
      <c r="AP60" s="225"/>
      <c r="AQ60" s="205"/>
      <c r="AR60" s="205"/>
      <c r="AS60" s="205"/>
      <c r="AT60" s="205"/>
      <c r="AU60" s="205"/>
      <c r="AV60" s="205"/>
      <c r="AW60" s="205"/>
      <c r="AX60" s="205"/>
      <c r="AY60" s="205"/>
    </row>
    <row r="61" spans="1:51" s="250" customFormat="1" ht="12.75" customHeight="1" x14ac:dyDescent="0.25">
      <c r="A61" s="373" t="str">
        <f>A42</f>
        <v>31. Acompañar técnicamente el desarrollo de comisiones de trabajo del Espacio Autónomo del Consejo Consultivo de Mujeres.</v>
      </c>
      <c r="B61" s="378">
        <f>B42</f>
        <v>0.01</v>
      </c>
      <c r="C61" s="191" t="s">
        <v>63</v>
      </c>
      <c r="D61" s="222">
        <f>D42*$B$42/$P$42</f>
        <v>0</v>
      </c>
      <c r="E61" s="222">
        <f t="shared" ref="E61:O62" si="7">E42*$B$42/$P$42</f>
        <v>0</v>
      </c>
      <c r="F61" s="222">
        <f t="shared" si="7"/>
        <v>1.0000000000000002E-3</v>
      </c>
      <c r="G61" s="222">
        <f t="shared" si="7"/>
        <v>1.0000000000000002E-3</v>
      </c>
      <c r="H61" s="222">
        <f t="shared" si="7"/>
        <v>1.0000000000000002E-3</v>
      </c>
      <c r="I61" s="222">
        <f t="shared" si="7"/>
        <v>1.0000000000000002E-3</v>
      </c>
      <c r="J61" s="222">
        <f t="shared" si="7"/>
        <v>1.0000000000000002E-3</v>
      </c>
      <c r="K61" s="222">
        <f t="shared" si="7"/>
        <v>1.0000000000000002E-3</v>
      </c>
      <c r="L61" s="222">
        <f t="shared" si="7"/>
        <v>1.0000000000000002E-3</v>
      </c>
      <c r="M61" s="222">
        <f t="shared" si="7"/>
        <v>1.0000000000000002E-3</v>
      </c>
      <c r="N61" s="222">
        <f t="shared" si="7"/>
        <v>1.0000000000000002E-3</v>
      </c>
      <c r="O61" s="222">
        <f t="shared" si="7"/>
        <v>1.0000000000000002E-3</v>
      </c>
      <c r="P61" s="223">
        <f t="shared" ref="P61:P64" si="8">SUM(D61:O61)</f>
        <v>1.0000000000000004E-2</v>
      </c>
      <c r="Q61" s="108">
        <v>2.5000000000000001E-2</v>
      </c>
      <c r="R61" s="224">
        <f t="shared" si="5"/>
        <v>-1.4999999999999998E-2</v>
      </c>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05"/>
      <c r="AR61" s="205"/>
      <c r="AS61" s="205"/>
      <c r="AT61" s="205"/>
      <c r="AU61" s="205"/>
      <c r="AV61" s="205"/>
      <c r="AW61" s="205"/>
      <c r="AX61" s="205"/>
      <c r="AY61" s="205"/>
    </row>
    <row r="62" spans="1:51" s="250" customFormat="1" ht="12.75" customHeight="1" x14ac:dyDescent="0.25">
      <c r="A62" s="377"/>
      <c r="B62" s="379"/>
      <c r="C62" s="196" t="s">
        <v>64</v>
      </c>
      <c r="D62" s="226">
        <f>D43*$B$42/$P$42</f>
        <v>0</v>
      </c>
      <c r="E62" s="226">
        <f t="shared" si="7"/>
        <v>0</v>
      </c>
      <c r="F62" s="226">
        <f t="shared" si="7"/>
        <v>0</v>
      </c>
      <c r="G62" s="226">
        <f t="shared" si="7"/>
        <v>1.2000000000000001E-3</v>
      </c>
      <c r="H62" s="226">
        <f t="shared" si="7"/>
        <v>1.0000000000000002E-3</v>
      </c>
      <c r="I62" s="226">
        <f t="shared" si="7"/>
        <v>1.0000000000000002E-3</v>
      </c>
      <c r="J62" s="226">
        <f t="shared" si="7"/>
        <v>1.0000000000000002E-3</v>
      </c>
      <c r="K62" s="226">
        <f t="shared" si="7"/>
        <v>1.2000000000000001E-3</v>
      </c>
      <c r="L62" s="226">
        <f t="shared" si="7"/>
        <v>1.5000000000000002E-3</v>
      </c>
      <c r="M62" s="226">
        <f t="shared" si="7"/>
        <v>1.1000000000000003E-3</v>
      </c>
      <c r="N62" s="226">
        <f t="shared" si="7"/>
        <v>1.0000000000000002E-3</v>
      </c>
      <c r="O62" s="226">
        <f t="shared" si="7"/>
        <v>1.0000000000000002E-3</v>
      </c>
      <c r="P62" s="227">
        <f t="shared" si="8"/>
        <v>1.0000000000000002E-2</v>
      </c>
      <c r="Q62" s="228">
        <f>+P62</f>
        <v>1.0000000000000002E-2</v>
      </c>
      <c r="R62" s="224">
        <f t="shared" si="5"/>
        <v>0</v>
      </c>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05"/>
      <c r="AR62" s="205"/>
      <c r="AS62" s="205"/>
      <c r="AT62" s="205"/>
      <c r="AU62" s="205"/>
      <c r="AV62" s="205"/>
      <c r="AW62" s="205"/>
      <c r="AX62" s="205"/>
      <c r="AY62" s="205"/>
    </row>
    <row r="63" spans="1:51" s="250" customFormat="1" ht="12.75" customHeight="1" x14ac:dyDescent="0.25">
      <c r="A63" s="373" t="str">
        <f>A44</f>
        <v>32. Acompañar técnicamente la transversalización del enfoque de género en el Concejo de Bogotá, con enfásis en las bancadas de mujeres de este organo</v>
      </c>
      <c r="B63" s="378">
        <f>B44</f>
        <v>0.01</v>
      </c>
      <c r="C63" s="191" t="s">
        <v>63</v>
      </c>
      <c r="D63" s="222">
        <f>D44*$B$44/$P$44</f>
        <v>0</v>
      </c>
      <c r="E63" s="222">
        <f t="shared" ref="E63:O64" si="9">E44*$B$44/$P$44</f>
        <v>8.0000000000000015E-4</v>
      </c>
      <c r="F63" s="222">
        <f t="shared" si="9"/>
        <v>8.0000000000000015E-4</v>
      </c>
      <c r="G63" s="222">
        <f t="shared" si="9"/>
        <v>8.0000000000000015E-4</v>
      </c>
      <c r="H63" s="222">
        <f t="shared" si="9"/>
        <v>8.0000000000000015E-4</v>
      </c>
      <c r="I63" s="222">
        <f t="shared" si="9"/>
        <v>8.0000000000000015E-4</v>
      </c>
      <c r="J63" s="222">
        <f t="shared" si="9"/>
        <v>1.0000000000000002E-3</v>
      </c>
      <c r="K63" s="222">
        <f t="shared" si="9"/>
        <v>1.0000000000000002E-3</v>
      </c>
      <c r="L63" s="222">
        <f t="shared" si="9"/>
        <v>1.0000000000000002E-3</v>
      </c>
      <c r="M63" s="222">
        <f t="shared" si="9"/>
        <v>1.0000000000000002E-3</v>
      </c>
      <c r="N63" s="222">
        <f t="shared" si="9"/>
        <v>1.0000000000000002E-3</v>
      </c>
      <c r="O63" s="222">
        <f t="shared" si="9"/>
        <v>1.0000000000000002E-3</v>
      </c>
      <c r="P63" s="223">
        <f t="shared" si="8"/>
        <v>1.0000000000000004E-2</v>
      </c>
      <c r="Q63" s="108">
        <v>0.02</v>
      </c>
      <c r="R63" s="224">
        <f t="shared" si="5"/>
        <v>-9.9999999999999967E-3</v>
      </c>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05"/>
      <c r="AR63" s="205"/>
      <c r="AS63" s="205"/>
      <c r="AT63" s="205"/>
      <c r="AU63" s="205"/>
      <c r="AV63" s="205"/>
      <c r="AW63" s="205"/>
      <c r="AX63" s="205"/>
      <c r="AY63" s="205"/>
    </row>
    <row r="64" spans="1:51" s="250" customFormat="1" ht="12.75" customHeight="1" x14ac:dyDescent="0.25">
      <c r="A64" s="377"/>
      <c r="B64" s="379"/>
      <c r="C64" s="196" t="s">
        <v>64</v>
      </c>
      <c r="D64" s="226">
        <f>D45*$B$44/$P$44</f>
        <v>0</v>
      </c>
      <c r="E64" s="226">
        <f t="shared" si="9"/>
        <v>8.0000000000000015E-4</v>
      </c>
      <c r="F64" s="226">
        <f t="shared" si="9"/>
        <v>8.0000000000000015E-4</v>
      </c>
      <c r="G64" s="226">
        <f t="shared" si="9"/>
        <v>8.0000000000000015E-4</v>
      </c>
      <c r="H64" s="226">
        <f t="shared" si="9"/>
        <v>8.0000000000000015E-4</v>
      </c>
      <c r="I64" s="226">
        <f t="shared" si="9"/>
        <v>8.0000000000000015E-4</v>
      </c>
      <c r="J64" s="226">
        <f t="shared" si="9"/>
        <v>1.0000000000000002E-3</v>
      </c>
      <c r="K64" s="226">
        <f t="shared" si="9"/>
        <v>1.0000000000000002E-3</v>
      </c>
      <c r="L64" s="226">
        <f t="shared" si="9"/>
        <v>1.0000000000000002E-3</v>
      </c>
      <c r="M64" s="226">
        <f t="shared" si="9"/>
        <v>1.0000000000000002E-3</v>
      </c>
      <c r="N64" s="226">
        <f t="shared" si="9"/>
        <v>1.0000000000000002E-3</v>
      </c>
      <c r="O64" s="226">
        <f t="shared" si="9"/>
        <v>1.0000000000000002E-3</v>
      </c>
      <c r="P64" s="227">
        <f t="shared" si="8"/>
        <v>1.0000000000000004E-2</v>
      </c>
      <c r="Q64" s="228">
        <f>+P64</f>
        <v>1.0000000000000004E-2</v>
      </c>
      <c r="R64" s="224">
        <f t="shared" si="5"/>
        <v>0</v>
      </c>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05"/>
      <c r="AR64" s="205"/>
      <c r="AS64" s="205"/>
      <c r="AT64" s="205"/>
      <c r="AU64" s="205"/>
      <c r="AV64" s="205"/>
      <c r="AW64" s="205"/>
      <c r="AX64" s="205"/>
      <c r="AY64" s="205"/>
    </row>
    <row r="65" spans="1:51" s="250" customFormat="1" ht="12.75" customHeight="1" x14ac:dyDescent="0.25">
      <c r="A65" s="373" t="str">
        <f>A46</f>
        <v>33. Acompañar técnicamente la incorporación del enfoque de género en la mesa de la actualización del decreto 563 de 2015, gestionar y coordinar las reuniones con la subcomisión de genero.</v>
      </c>
      <c r="B65" s="378">
        <f>B46</f>
        <v>5.0000000000000001E-3</v>
      </c>
      <c r="C65" s="191" t="s">
        <v>63</v>
      </c>
      <c r="D65" s="222">
        <f>D46*$B$46/$P$46</f>
        <v>0</v>
      </c>
      <c r="E65" s="222">
        <f t="shared" ref="E65:O66" si="10">E46*$B$46/$P$46</f>
        <v>4.0000000000000007E-4</v>
      </c>
      <c r="F65" s="222">
        <f t="shared" si="10"/>
        <v>4.0000000000000007E-4</v>
      </c>
      <c r="G65" s="222">
        <f t="shared" si="10"/>
        <v>4.0000000000000007E-4</v>
      </c>
      <c r="H65" s="222">
        <f t="shared" si="10"/>
        <v>4.0000000000000007E-4</v>
      </c>
      <c r="I65" s="222">
        <f t="shared" si="10"/>
        <v>4.0000000000000007E-4</v>
      </c>
      <c r="J65" s="222">
        <f t="shared" si="10"/>
        <v>5.0000000000000012E-4</v>
      </c>
      <c r="K65" s="222">
        <f t="shared" si="10"/>
        <v>5.0000000000000012E-4</v>
      </c>
      <c r="L65" s="222">
        <f t="shared" si="10"/>
        <v>5.0000000000000012E-4</v>
      </c>
      <c r="M65" s="222">
        <f t="shared" si="10"/>
        <v>5.0000000000000012E-4</v>
      </c>
      <c r="N65" s="222">
        <f t="shared" si="10"/>
        <v>5.0000000000000012E-4</v>
      </c>
      <c r="O65" s="222">
        <f t="shared" si="10"/>
        <v>5.0000000000000012E-4</v>
      </c>
      <c r="P65" s="223">
        <f t="shared" ref="P65:P70" si="11">SUM(D65:O65)</f>
        <v>5.0000000000000018E-3</v>
      </c>
      <c r="Q65" s="108">
        <v>0.02</v>
      </c>
      <c r="R65" s="224">
        <f t="shared" si="5"/>
        <v>-1.4999999999999999E-2</v>
      </c>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05"/>
      <c r="AR65" s="205"/>
      <c r="AS65" s="205"/>
      <c r="AT65" s="205"/>
      <c r="AU65" s="205"/>
      <c r="AV65" s="205"/>
      <c r="AW65" s="205"/>
      <c r="AX65" s="205"/>
      <c r="AY65" s="205"/>
    </row>
    <row r="66" spans="1:51" s="250" customFormat="1" ht="12.75" customHeight="1" x14ac:dyDescent="0.25">
      <c r="A66" s="377"/>
      <c r="B66" s="379"/>
      <c r="C66" s="196" t="s">
        <v>64</v>
      </c>
      <c r="D66" s="226">
        <f>D47*$B$46/$P$46</f>
        <v>0</v>
      </c>
      <c r="E66" s="226">
        <f t="shared" si="10"/>
        <v>4.0000000000000007E-4</v>
      </c>
      <c r="F66" s="226">
        <f t="shared" si="10"/>
        <v>4.0000000000000007E-4</v>
      </c>
      <c r="G66" s="226">
        <f t="shared" si="10"/>
        <v>4.0000000000000007E-4</v>
      </c>
      <c r="H66" s="226">
        <f t="shared" si="10"/>
        <v>4.0000000000000007E-4</v>
      </c>
      <c r="I66" s="226">
        <f t="shared" si="10"/>
        <v>4.0000000000000007E-4</v>
      </c>
      <c r="J66" s="226">
        <f t="shared" si="10"/>
        <v>5.0000000000000012E-4</v>
      </c>
      <c r="K66" s="226">
        <f t="shared" si="10"/>
        <v>5.0000000000000012E-4</v>
      </c>
      <c r="L66" s="226">
        <f t="shared" si="10"/>
        <v>5.0000000000000012E-4</v>
      </c>
      <c r="M66" s="226">
        <f t="shared" si="10"/>
        <v>5.0000000000000012E-4</v>
      </c>
      <c r="N66" s="226">
        <f t="shared" si="10"/>
        <v>5.0000000000000012E-4</v>
      </c>
      <c r="O66" s="226">
        <f t="shared" si="10"/>
        <v>5.0000000000000012E-4</v>
      </c>
      <c r="P66" s="227">
        <f t="shared" si="11"/>
        <v>5.0000000000000018E-3</v>
      </c>
      <c r="Q66" s="228">
        <f>+P66</f>
        <v>5.0000000000000018E-3</v>
      </c>
      <c r="R66" s="224">
        <f t="shared" si="5"/>
        <v>0</v>
      </c>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05"/>
      <c r="AR66" s="205"/>
      <c r="AS66" s="205"/>
      <c r="AT66" s="205"/>
      <c r="AU66" s="205"/>
      <c r="AV66" s="205"/>
      <c r="AW66" s="205"/>
      <c r="AX66" s="205"/>
      <c r="AY66" s="205"/>
    </row>
    <row r="67" spans="1:51" s="250" customFormat="1" ht="12.75" customHeight="1" x14ac:dyDescent="0.25">
      <c r="A67" s="373" t="str">
        <f>A48</f>
        <v>34. Realizar Acompañamiento técnico al Centro de Operaciones de Emergencia (COE) durante las movilizaciones sociales que se realicen y a las cuales se convoque a la SDMujer.</v>
      </c>
      <c r="B67" s="378">
        <f>B48</f>
        <v>5.0000000000000001E-3</v>
      </c>
      <c r="C67" s="191" t="s">
        <v>63</v>
      </c>
      <c r="D67" s="222">
        <f>D48*$B$48/$P$48</f>
        <v>0</v>
      </c>
      <c r="E67" s="222">
        <f t="shared" ref="E67:O68" si="12">E48*$B$48/$P$48</f>
        <v>0</v>
      </c>
      <c r="F67" s="222">
        <f t="shared" si="12"/>
        <v>7.5000000000000002E-4</v>
      </c>
      <c r="G67" s="222">
        <f t="shared" si="12"/>
        <v>4.0000000000000002E-4</v>
      </c>
      <c r="H67" s="222">
        <f t="shared" si="12"/>
        <v>7.5000000000000002E-4</v>
      </c>
      <c r="I67" s="222">
        <f t="shared" si="12"/>
        <v>2.5000000000000001E-4</v>
      </c>
      <c r="J67" s="222">
        <f t="shared" si="12"/>
        <v>5.0000000000000001E-4</v>
      </c>
      <c r="K67" s="222">
        <f t="shared" si="12"/>
        <v>5.0000000000000001E-4</v>
      </c>
      <c r="L67" s="222">
        <f t="shared" si="12"/>
        <v>2.9999999999999997E-4</v>
      </c>
      <c r="M67" s="222">
        <f t="shared" si="12"/>
        <v>5.0000000000000001E-4</v>
      </c>
      <c r="N67" s="222">
        <f t="shared" si="12"/>
        <v>7.5000000000000002E-4</v>
      </c>
      <c r="O67" s="222">
        <f t="shared" si="12"/>
        <v>2.9999999999999997E-4</v>
      </c>
      <c r="P67" s="223">
        <f t="shared" si="11"/>
        <v>5.0000000000000001E-3</v>
      </c>
      <c r="Q67" s="108">
        <v>0.02</v>
      </c>
      <c r="R67" s="224">
        <f t="shared" si="5"/>
        <v>-1.4999999999999999E-2</v>
      </c>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05"/>
      <c r="AR67" s="205"/>
      <c r="AS67" s="205"/>
      <c r="AT67" s="205"/>
      <c r="AU67" s="205"/>
      <c r="AV67" s="205"/>
      <c r="AW67" s="205"/>
      <c r="AX67" s="205"/>
      <c r="AY67" s="205"/>
    </row>
    <row r="68" spans="1:51" s="250" customFormat="1" ht="12.75" customHeight="1" x14ac:dyDescent="0.25">
      <c r="A68" s="377"/>
      <c r="B68" s="379"/>
      <c r="C68" s="196" t="s">
        <v>64</v>
      </c>
      <c r="D68" s="226">
        <f>D49*$B$48/$P$48</f>
        <v>0</v>
      </c>
      <c r="E68" s="226">
        <f t="shared" si="12"/>
        <v>0</v>
      </c>
      <c r="F68" s="226">
        <f t="shared" si="12"/>
        <v>7.5000000000000002E-4</v>
      </c>
      <c r="G68" s="226">
        <f t="shared" si="12"/>
        <v>4.0000000000000002E-4</v>
      </c>
      <c r="H68" s="226">
        <f t="shared" si="12"/>
        <v>7.5000000000000002E-4</v>
      </c>
      <c r="I68" s="226">
        <f t="shared" si="12"/>
        <v>2.5000000000000001E-4</v>
      </c>
      <c r="J68" s="226">
        <f t="shared" si="12"/>
        <v>5.0000000000000001E-4</v>
      </c>
      <c r="K68" s="226">
        <f t="shared" si="12"/>
        <v>5.0000000000000001E-4</v>
      </c>
      <c r="L68" s="226">
        <f t="shared" si="12"/>
        <v>2.9999999999999997E-4</v>
      </c>
      <c r="M68" s="226">
        <f t="shared" si="12"/>
        <v>5.0000000000000001E-4</v>
      </c>
      <c r="N68" s="226">
        <f t="shared" si="12"/>
        <v>7.5000000000000002E-4</v>
      </c>
      <c r="O68" s="226">
        <f t="shared" si="12"/>
        <v>2.9999999999999997E-4</v>
      </c>
      <c r="P68" s="227">
        <f t="shared" si="11"/>
        <v>5.0000000000000001E-3</v>
      </c>
      <c r="Q68" s="228">
        <f>+P68</f>
        <v>5.0000000000000001E-3</v>
      </c>
      <c r="R68" s="224">
        <f t="shared" si="5"/>
        <v>0</v>
      </c>
      <c r="S68" s="225"/>
      <c r="T68" s="225"/>
      <c r="U68" s="225"/>
      <c r="V68" s="225"/>
      <c r="W68" s="225"/>
      <c r="X68" s="225"/>
      <c r="Y68" s="225"/>
      <c r="Z68" s="225"/>
      <c r="AA68" s="225"/>
      <c r="AB68" s="225"/>
      <c r="AC68" s="225"/>
      <c r="AD68" s="225"/>
      <c r="AE68" s="225"/>
      <c r="AF68" s="225"/>
      <c r="AG68" s="225"/>
      <c r="AH68" s="225"/>
      <c r="AI68" s="225"/>
      <c r="AJ68" s="225"/>
      <c r="AK68" s="225"/>
      <c r="AL68" s="225"/>
      <c r="AM68" s="225"/>
      <c r="AN68" s="225"/>
      <c r="AO68" s="225"/>
      <c r="AP68" s="225"/>
      <c r="AQ68" s="205"/>
      <c r="AR68" s="205"/>
      <c r="AS68" s="205"/>
      <c r="AT68" s="205"/>
      <c r="AU68" s="205"/>
      <c r="AV68" s="205"/>
      <c r="AW68" s="205"/>
      <c r="AX68" s="205"/>
      <c r="AY68" s="205"/>
    </row>
    <row r="69" spans="1:51" s="250" customFormat="1" ht="12.75" customHeight="1" x14ac:dyDescent="0.25">
      <c r="A69" s="373" t="str">
        <f>A50</f>
        <v>35. Acompañar técnicamente la incorporación del enfoque de género en el Consejo Territorial de Planeación Distrital CTPD</v>
      </c>
      <c r="B69" s="378">
        <f>B50</f>
        <v>0.01</v>
      </c>
      <c r="C69" s="191" t="s">
        <v>63</v>
      </c>
      <c r="D69" s="222">
        <f>D50*$B$50/$P$50</f>
        <v>0</v>
      </c>
      <c r="E69" s="222">
        <f t="shared" ref="E69:O70" si="13">E50*$B$50/$P$50</f>
        <v>8.0000000000000015E-4</v>
      </c>
      <c r="F69" s="222">
        <f t="shared" si="13"/>
        <v>8.0000000000000015E-4</v>
      </c>
      <c r="G69" s="222">
        <f t="shared" si="13"/>
        <v>8.0000000000000015E-4</v>
      </c>
      <c r="H69" s="222">
        <f t="shared" si="13"/>
        <v>8.0000000000000015E-4</v>
      </c>
      <c r="I69" s="222">
        <f t="shared" si="13"/>
        <v>8.0000000000000015E-4</v>
      </c>
      <c r="J69" s="222">
        <f t="shared" si="13"/>
        <v>1.0000000000000002E-3</v>
      </c>
      <c r="K69" s="222">
        <f t="shared" si="13"/>
        <v>1.0000000000000002E-3</v>
      </c>
      <c r="L69" s="222">
        <f t="shared" si="13"/>
        <v>1.0000000000000002E-3</v>
      </c>
      <c r="M69" s="222">
        <f t="shared" si="13"/>
        <v>1.0000000000000002E-3</v>
      </c>
      <c r="N69" s="222">
        <f t="shared" si="13"/>
        <v>1.0000000000000002E-3</v>
      </c>
      <c r="O69" s="222">
        <f t="shared" si="13"/>
        <v>1.0000000000000002E-3</v>
      </c>
      <c r="P69" s="223">
        <f t="shared" si="11"/>
        <v>1.0000000000000004E-2</v>
      </c>
      <c r="Q69" s="108">
        <v>0.02</v>
      </c>
      <c r="R69" s="224">
        <f t="shared" si="5"/>
        <v>-9.9999999999999967E-3</v>
      </c>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05"/>
      <c r="AR69" s="205"/>
      <c r="AS69" s="205"/>
      <c r="AT69" s="205"/>
      <c r="AU69" s="205"/>
      <c r="AV69" s="205"/>
      <c r="AW69" s="205"/>
      <c r="AX69" s="205"/>
      <c r="AY69" s="205"/>
    </row>
    <row r="70" spans="1:51" s="250" customFormat="1" ht="12.75" customHeight="1" x14ac:dyDescent="0.25">
      <c r="A70" s="377"/>
      <c r="B70" s="379"/>
      <c r="C70" s="196" t="s">
        <v>64</v>
      </c>
      <c r="D70" s="226">
        <f>D51*$B$50/$P$50</f>
        <v>0</v>
      </c>
      <c r="E70" s="226">
        <f t="shared" si="13"/>
        <v>8.0000000000000015E-4</v>
      </c>
      <c r="F70" s="226">
        <f t="shared" si="13"/>
        <v>8.0000000000000015E-4</v>
      </c>
      <c r="G70" s="226">
        <f t="shared" si="13"/>
        <v>8.0000000000000015E-4</v>
      </c>
      <c r="H70" s="226">
        <f t="shared" si="13"/>
        <v>8.0000000000000015E-4</v>
      </c>
      <c r="I70" s="226">
        <f t="shared" si="13"/>
        <v>8.0000000000000015E-4</v>
      </c>
      <c r="J70" s="226">
        <f t="shared" si="13"/>
        <v>1.0000000000000002E-3</v>
      </c>
      <c r="K70" s="226">
        <f t="shared" si="13"/>
        <v>1.0000000000000002E-3</v>
      </c>
      <c r="L70" s="226">
        <f t="shared" si="13"/>
        <v>1.0000000000000002E-3</v>
      </c>
      <c r="M70" s="226">
        <f t="shared" si="13"/>
        <v>1.0000000000000002E-3</v>
      </c>
      <c r="N70" s="226">
        <f t="shared" si="13"/>
        <v>1.0000000000000002E-3</v>
      </c>
      <c r="O70" s="226">
        <f t="shared" si="13"/>
        <v>1.0000000000000002E-3</v>
      </c>
      <c r="P70" s="227">
        <f t="shared" si="11"/>
        <v>1.0000000000000004E-2</v>
      </c>
      <c r="Q70" s="228">
        <f>+P70</f>
        <v>1.0000000000000004E-2</v>
      </c>
      <c r="R70" s="224">
        <f t="shared" si="5"/>
        <v>0</v>
      </c>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05"/>
      <c r="AR70" s="205"/>
      <c r="AS70" s="205"/>
      <c r="AT70" s="205"/>
      <c r="AU70" s="205"/>
      <c r="AV70" s="205"/>
      <c r="AW70" s="205"/>
      <c r="AX70" s="205"/>
      <c r="AY70" s="205"/>
    </row>
    <row r="71" spans="1:51" s="250" customFormat="1" ht="15.75" customHeight="1" x14ac:dyDescent="0.25">
      <c r="A71" s="225"/>
      <c r="B71" s="225"/>
      <c r="C71" s="229"/>
      <c r="D71" s="230">
        <f>D58+D60+D62+D64+D66+D68+D70</f>
        <v>0</v>
      </c>
      <c r="E71" s="230">
        <f t="shared" ref="E71:O71" si="14">E58+E60+E62+E64+E66+E68+E70</f>
        <v>2.850000000000001E-3</v>
      </c>
      <c r="F71" s="230">
        <f t="shared" si="14"/>
        <v>3.9000000000000007E-3</v>
      </c>
      <c r="G71" s="230">
        <f t="shared" si="14"/>
        <v>4.4500000000000008E-3</v>
      </c>
      <c r="H71" s="230">
        <f t="shared" si="14"/>
        <v>4.6000000000000008E-3</v>
      </c>
      <c r="I71" s="230">
        <f t="shared" si="14"/>
        <v>4.1000000000000012E-3</v>
      </c>
      <c r="J71" s="230">
        <f t="shared" si="14"/>
        <v>4.850000000000001E-3</v>
      </c>
      <c r="K71" s="230">
        <f t="shared" si="14"/>
        <v>5.0500000000000007E-3</v>
      </c>
      <c r="L71" s="230">
        <f t="shared" si="14"/>
        <v>5.1500000000000009E-3</v>
      </c>
      <c r="M71" s="230">
        <f t="shared" si="14"/>
        <v>5.2500000000000012E-3</v>
      </c>
      <c r="N71" s="230">
        <f t="shared" si="14"/>
        <v>5.1000000000000012E-3</v>
      </c>
      <c r="O71" s="230">
        <f t="shared" si="14"/>
        <v>4.7000000000000011E-3</v>
      </c>
      <c r="P71" s="230">
        <f>P58+P60+P62+P64+P66+P68+P70</f>
        <v>5.000000000000001E-2</v>
      </c>
      <c r="Q71" s="225"/>
      <c r="R71" s="224">
        <f>+P71-Q71</f>
        <v>5.000000000000001E-2</v>
      </c>
      <c r="S71" s="225"/>
      <c r="T71" s="225"/>
      <c r="U71" s="225"/>
      <c r="V71" s="225"/>
      <c r="W71" s="225"/>
      <c r="X71" s="225"/>
      <c r="Y71" s="225"/>
      <c r="Z71" s="225"/>
      <c r="AA71" s="225"/>
      <c r="AB71" s="225"/>
      <c r="AC71" s="225"/>
      <c r="AD71" s="225"/>
      <c r="AE71" s="225"/>
      <c r="AF71" s="225"/>
      <c r="AG71" s="225"/>
      <c r="AH71" s="225"/>
      <c r="AI71" s="225"/>
      <c r="AJ71" s="225"/>
      <c r="AK71" s="225"/>
      <c r="AL71" s="225"/>
      <c r="AM71" s="225"/>
      <c r="AN71" s="225"/>
      <c r="AO71" s="225"/>
      <c r="AP71" s="225"/>
      <c r="AQ71" s="205"/>
      <c r="AR71" s="205"/>
      <c r="AS71" s="205"/>
      <c r="AT71" s="205"/>
      <c r="AU71" s="205"/>
      <c r="AV71" s="205"/>
      <c r="AW71" s="205"/>
      <c r="AX71" s="205"/>
      <c r="AY71" s="205"/>
    </row>
    <row r="72" spans="1:51" s="250" customFormat="1" ht="15.75" customHeight="1" x14ac:dyDescent="0.25">
      <c r="A72" s="205"/>
      <c r="B72" s="205"/>
      <c r="C72" s="209" t="s">
        <v>64</v>
      </c>
      <c r="D72" s="231">
        <f>D71*$W$17/$B$34</f>
        <v>0</v>
      </c>
      <c r="E72" s="231">
        <f t="shared" ref="E72:O72" si="15">E71*$W$17/$B$34</f>
        <v>0.22800000000000009</v>
      </c>
      <c r="F72" s="231">
        <f t="shared" si="15"/>
        <v>0.31200000000000006</v>
      </c>
      <c r="G72" s="231">
        <f t="shared" si="15"/>
        <v>0.35600000000000009</v>
      </c>
      <c r="H72" s="231">
        <f t="shared" si="15"/>
        <v>0.3680000000000001</v>
      </c>
      <c r="I72" s="231">
        <f t="shared" si="15"/>
        <v>0.32800000000000012</v>
      </c>
      <c r="J72" s="231">
        <f t="shared" si="15"/>
        <v>0.38800000000000012</v>
      </c>
      <c r="K72" s="231">
        <f t="shared" si="15"/>
        <v>0.40400000000000008</v>
      </c>
      <c r="L72" s="231">
        <f t="shared" si="15"/>
        <v>0.41200000000000009</v>
      </c>
      <c r="M72" s="231">
        <f t="shared" si="15"/>
        <v>0.42000000000000015</v>
      </c>
      <c r="N72" s="231">
        <f t="shared" si="15"/>
        <v>0.40800000000000014</v>
      </c>
      <c r="O72" s="231">
        <f t="shared" si="15"/>
        <v>0.37600000000000011</v>
      </c>
      <c r="P72" s="232">
        <f>SUM(D72:O72)</f>
        <v>4.0000000000000009</v>
      </c>
      <c r="Q72" s="204"/>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c r="AP72" s="205"/>
      <c r="AQ72" s="205"/>
      <c r="AR72" s="205"/>
      <c r="AS72" s="205"/>
      <c r="AT72" s="205"/>
      <c r="AU72" s="205"/>
      <c r="AV72" s="205"/>
      <c r="AW72" s="205"/>
      <c r="AX72" s="205"/>
      <c r="AY72" s="205"/>
    </row>
    <row r="73" spans="1:51" s="250" customFormat="1" ht="13.5" customHeight="1" x14ac:dyDescent="0.25">
      <c r="A73" s="204"/>
      <c r="B73" s="204"/>
      <c r="C73" s="204"/>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5"/>
      <c r="AE73" s="205"/>
      <c r="AF73" s="205"/>
      <c r="AG73" s="205"/>
      <c r="AH73" s="205"/>
      <c r="AI73" s="205"/>
      <c r="AJ73" s="205"/>
      <c r="AK73" s="205"/>
      <c r="AL73" s="205"/>
      <c r="AM73" s="205"/>
      <c r="AN73" s="205"/>
      <c r="AO73" s="205"/>
      <c r="AP73" s="205"/>
      <c r="AQ73" s="205"/>
      <c r="AR73" s="205"/>
      <c r="AS73" s="205"/>
      <c r="AT73" s="205"/>
      <c r="AU73" s="205"/>
      <c r="AV73" s="205"/>
      <c r="AW73" s="205"/>
      <c r="AX73" s="205"/>
      <c r="AY73" s="205"/>
    </row>
    <row r="74" spans="1:51" x14ac:dyDescent="0.25">
      <c r="D74" s="230">
        <f>+D57+D59+D61+D63+D65+D67+D69</f>
        <v>0</v>
      </c>
      <c r="E74" s="230">
        <f t="shared" ref="E74:O74" si="16">+E57+E59+E61+E63+E65+E67+E69</f>
        <v>2.850000000000001E-3</v>
      </c>
      <c r="F74" s="230">
        <f t="shared" si="16"/>
        <v>4.9000000000000016E-3</v>
      </c>
      <c r="G74" s="230">
        <f t="shared" si="16"/>
        <v>4.2500000000000012E-3</v>
      </c>
      <c r="H74" s="230">
        <f t="shared" si="16"/>
        <v>4.6000000000000008E-3</v>
      </c>
      <c r="I74" s="230">
        <f t="shared" si="16"/>
        <v>4.1000000000000012E-3</v>
      </c>
      <c r="J74" s="230">
        <f t="shared" si="16"/>
        <v>4.850000000000001E-3</v>
      </c>
      <c r="K74" s="230">
        <f t="shared" si="16"/>
        <v>4.850000000000001E-3</v>
      </c>
      <c r="L74" s="230">
        <f t="shared" si="16"/>
        <v>4.6500000000000014E-3</v>
      </c>
      <c r="M74" s="230">
        <f t="shared" si="16"/>
        <v>5.1500000000000009E-3</v>
      </c>
      <c r="N74" s="230">
        <f t="shared" si="16"/>
        <v>5.1000000000000012E-3</v>
      </c>
      <c r="O74" s="230">
        <f t="shared" si="16"/>
        <v>4.7000000000000011E-3</v>
      </c>
      <c r="P74" s="230">
        <f>SUM(D74:O74)</f>
        <v>5.000000000000001E-2</v>
      </c>
    </row>
    <row r="75" spans="1:51" x14ac:dyDescent="0.25">
      <c r="C75" s="209" t="s">
        <v>63</v>
      </c>
      <c r="D75" s="231">
        <f>D74*$W$17/$B$34</f>
        <v>0</v>
      </c>
      <c r="E75" s="231">
        <f t="shared" ref="E75" si="17">E74*$W$17/$B$34</f>
        <v>0.22800000000000009</v>
      </c>
      <c r="F75" s="231">
        <f t="shared" ref="F75" si="18">F74*$W$17/$B$34</f>
        <v>0.39200000000000018</v>
      </c>
      <c r="G75" s="231">
        <f t="shared" ref="G75" si="19">G74*$W$17/$B$34</f>
        <v>0.34000000000000014</v>
      </c>
      <c r="H75" s="231">
        <f t="shared" ref="H75" si="20">H74*$W$17/$B$34</f>
        <v>0.3680000000000001</v>
      </c>
      <c r="I75" s="231">
        <f t="shared" ref="I75" si="21">I74*$W$17/$B$34</f>
        <v>0.32800000000000012</v>
      </c>
      <c r="J75" s="231">
        <f t="shared" ref="J75" si="22">J74*$W$17/$B$34</f>
        <v>0.38800000000000012</v>
      </c>
      <c r="K75" s="231">
        <f t="shared" ref="K75" si="23">K74*$W$17/$B$34</f>
        <v>0.38800000000000012</v>
      </c>
      <c r="L75" s="231">
        <f t="shared" ref="L75" si="24">L74*$W$17/$B$34</f>
        <v>0.37200000000000016</v>
      </c>
      <c r="M75" s="231">
        <f t="shared" ref="M75" si="25">M74*$W$17/$B$34</f>
        <v>0.41200000000000009</v>
      </c>
      <c r="N75" s="231">
        <f t="shared" ref="N75" si="26">N74*$W$17/$B$34</f>
        <v>0.40800000000000014</v>
      </c>
      <c r="O75" s="231">
        <f t="shared" ref="O75" si="27">O74*$W$17/$B$34</f>
        <v>0.37600000000000011</v>
      </c>
      <c r="P75" s="232">
        <f>SUM(D75:O75)</f>
        <v>4.0000000000000009</v>
      </c>
    </row>
  </sheetData>
  <mergeCells count="102">
    <mergeCell ref="A1:A4"/>
    <mergeCell ref="B1:AA1"/>
    <mergeCell ref="AB1:AD1"/>
    <mergeCell ref="B2:AA2"/>
    <mergeCell ref="AB2:AD2"/>
    <mergeCell ref="B3:AA4"/>
    <mergeCell ref="AB3:AD3"/>
    <mergeCell ref="AB4:AD4"/>
    <mergeCell ref="O7:P7"/>
    <mergeCell ref="M8:N8"/>
    <mergeCell ref="O8:P8"/>
    <mergeCell ref="M9:N9"/>
    <mergeCell ref="O9:P9"/>
    <mergeCell ref="A11:B13"/>
    <mergeCell ref="C11:AD13"/>
    <mergeCell ref="A7:B9"/>
    <mergeCell ref="C7:C9"/>
    <mergeCell ref="D7:H9"/>
    <mergeCell ref="I7:J9"/>
    <mergeCell ref="K7:L9"/>
    <mergeCell ref="M7:N7"/>
    <mergeCell ref="C16:AB16"/>
    <mergeCell ref="A17:B17"/>
    <mergeCell ref="C17:Q17"/>
    <mergeCell ref="R17:V17"/>
    <mergeCell ref="W17:X17"/>
    <mergeCell ref="Y17:AB17"/>
    <mergeCell ref="A15:B15"/>
    <mergeCell ref="C15:K15"/>
    <mergeCell ref="L15:Q15"/>
    <mergeCell ref="R15:X15"/>
    <mergeCell ref="Y15:Z15"/>
    <mergeCell ref="AA15:AD15"/>
    <mergeCell ref="A26:AD26"/>
    <mergeCell ref="A28:A29"/>
    <mergeCell ref="B28:C29"/>
    <mergeCell ref="D28:O28"/>
    <mergeCell ref="P28:P29"/>
    <mergeCell ref="Q28:AD29"/>
    <mergeCell ref="AC17:AD17"/>
    <mergeCell ref="A19:AD19"/>
    <mergeCell ref="C20:P20"/>
    <mergeCell ref="Q20:AD20"/>
    <mergeCell ref="B30:C30"/>
    <mergeCell ref="Q30:AD30"/>
    <mergeCell ref="A31:AD31"/>
    <mergeCell ref="A32:A33"/>
    <mergeCell ref="B32:B33"/>
    <mergeCell ref="C32:C33"/>
    <mergeCell ref="D32:P32"/>
    <mergeCell ref="Q32:AD32"/>
    <mergeCell ref="Q33:V33"/>
    <mergeCell ref="W33:Z3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A44:A45"/>
    <mergeCell ref="B44:B45"/>
    <mergeCell ref="Q44:AD45"/>
    <mergeCell ref="A46:A47"/>
    <mergeCell ref="B46:B47"/>
    <mergeCell ref="Q46:AD47"/>
    <mergeCell ref="A40:A41"/>
    <mergeCell ref="B40:B41"/>
    <mergeCell ref="Q40:AD41"/>
    <mergeCell ref="A42:A43"/>
    <mergeCell ref="B42:B43"/>
    <mergeCell ref="Q42:AD43"/>
    <mergeCell ref="A55:A56"/>
    <mergeCell ref="B55:B56"/>
    <mergeCell ref="C55:P55"/>
    <mergeCell ref="A57:A58"/>
    <mergeCell ref="B57:B58"/>
    <mergeCell ref="A48:A49"/>
    <mergeCell ref="B48:B49"/>
    <mergeCell ref="Q48:AD49"/>
    <mergeCell ref="A50:A51"/>
    <mergeCell ref="B50:B51"/>
    <mergeCell ref="Q50:AD51"/>
    <mergeCell ref="A65:A66"/>
    <mergeCell ref="B65:B66"/>
    <mergeCell ref="A67:A68"/>
    <mergeCell ref="B67:B68"/>
    <mergeCell ref="A69:A70"/>
    <mergeCell ref="B69:B70"/>
    <mergeCell ref="A59:A60"/>
    <mergeCell ref="B59:B60"/>
    <mergeCell ref="A61:A62"/>
    <mergeCell ref="B61:B62"/>
    <mergeCell ref="A63:A64"/>
    <mergeCell ref="B63:B64"/>
  </mergeCells>
  <phoneticPr fontId="50" type="noConversion"/>
  <dataValidations count="5">
    <dataValidation type="textLength" operator="lessThanOrEqual" allowBlank="1" showInputMessage="1" showErrorMessage="1" errorTitle="Máximo 2.000 caracteres" error="Máximo 2.000 caracteres" sqref="W34 AA34 Q34" xr:uid="{00000000-0002-0000-0500-000000000000}">
      <formula1>2000</formula1>
    </dataValidation>
    <dataValidation type="textLength" operator="lessThanOrEqual" allowBlank="1" showInputMessage="1" showErrorMessage="1" errorTitle="Máximo 2.000 caracteres" error="Máximo 2.000 caracteres" promptTitle="2.000 caracteres" sqref="Q30:AD30" xr:uid="{00000000-0002-0000-0500-000001000000}">
      <formula1>2000</formula1>
    </dataValidation>
    <dataValidation type="list" allowBlank="1" showInputMessage="1" showErrorMessage="1" sqref="C7:C9" xr:uid="{00000000-0002-0000-0500-000002000000}">
      <formula1>$C$21:$N$21</formula1>
    </dataValidation>
    <dataValidation type="textLength" operator="lessThanOrEqual" allowBlank="1" showInputMessage="1" showErrorMessage="1" errorTitle="Máximo 2.000 caracteres" error="Máximo 2.000 caracteres" sqref="Q40:AD51" xr:uid="{00000000-0002-0000-0500-000003000000}">
      <formula1>20000</formula1>
    </dataValidation>
    <dataValidation type="textLength" operator="lessThanOrEqual" allowBlank="1" showInputMessage="1" showErrorMessage="1" errorTitle="Máximo 2.000 caracteres" error="Máximo 2.000 caracteres" sqref="Q38:AD39" xr:uid="{00000000-0002-0000-0500-000004000000}">
      <formula1>15000</formula1>
    </dataValidation>
  </dataValidations>
  <printOptions horizontalCentered="1"/>
  <pageMargins left="0.73685039370078742" right="0.19685039370078741" top="0.19685039370078741" bottom="0.19685039370078741" header="0" footer="0"/>
  <pageSetup paperSize="9" scale="24" orientation="landscape" r:id="rId1"/>
  <rowBreaks count="2" manualBreakCount="2">
    <brk id="43" max="29" man="1"/>
    <brk id="49" max="29"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69"/>
  <sheetViews>
    <sheetView view="pageBreakPreview" topLeftCell="K7" zoomScale="60" zoomScaleNormal="75" workbookViewId="0">
      <selection activeCell="A19" sqref="A11:AD19"/>
    </sheetView>
  </sheetViews>
  <sheetFormatPr baseColWidth="10" defaultColWidth="10.85546875" defaultRowHeight="15" x14ac:dyDescent="0.25"/>
  <cols>
    <col min="1" max="1" width="38.42578125" style="108" customWidth="1"/>
    <col min="2" max="2" width="15.42578125" style="108" customWidth="1"/>
    <col min="3" max="3" width="18.85546875" style="108" customWidth="1"/>
    <col min="4" max="5" width="15.42578125" style="108" customWidth="1"/>
    <col min="6" max="6" width="16.85546875" style="108" customWidth="1"/>
    <col min="7" max="15" width="15.42578125" style="108" customWidth="1"/>
    <col min="16" max="16" width="17.42578125" style="108" customWidth="1"/>
    <col min="17" max="17" width="16" style="108" bestFit="1" customWidth="1"/>
    <col min="18" max="21" width="14.85546875" style="108" bestFit="1" customWidth="1"/>
    <col min="22" max="22" width="17" style="108" customWidth="1"/>
    <col min="23" max="28" width="14.85546875" style="108" bestFit="1" customWidth="1"/>
    <col min="29" max="29" width="16" style="108" bestFit="1" customWidth="1"/>
    <col min="30" max="30" width="8.28515625" style="108" customWidth="1"/>
    <col min="31" max="31" width="6.42578125" style="108" bestFit="1" customWidth="1"/>
    <col min="32" max="32" width="22.85546875" style="108" customWidth="1"/>
    <col min="33" max="33" width="18.42578125" style="108" bestFit="1" customWidth="1"/>
    <col min="34" max="34" width="8.42578125" style="108" customWidth="1"/>
    <col min="35" max="35" width="18.42578125" style="108" bestFit="1" customWidth="1"/>
    <col min="36" max="36" width="5.42578125" style="108" customWidth="1"/>
    <col min="37" max="37" width="18.42578125" style="108" bestFit="1" customWidth="1"/>
    <col min="38" max="38" width="4.42578125" style="108" customWidth="1"/>
    <col min="39" max="39" width="23" style="108" bestFit="1" customWidth="1"/>
    <col min="40" max="40" width="10.85546875" style="108"/>
    <col min="41" max="41" width="18.42578125" style="108" bestFit="1" customWidth="1"/>
    <col min="42" max="42" width="16.140625" style="108" customWidth="1"/>
    <col min="43" max="16384" width="10.85546875" style="108"/>
  </cols>
  <sheetData>
    <row r="1" spans="1:30" ht="32.25" customHeight="1" x14ac:dyDescent="0.25">
      <c r="A1" s="489"/>
      <c r="B1" s="492" t="s">
        <v>0</v>
      </c>
      <c r="C1" s="493"/>
      <c r="D1" s="493"/>
      <c r="E1" s="493"/>
      <c r="F1" s="493"/>
      <c r="G1" s="493"/>
      <c r="H1" s="493"/>
      <c r="I1" s="493"/>
      <c r="J1" s="493"/>
      <c r="K1" s="493"/>
      <c r="L1" s="493"/>
      <c r="M1" s="493"/>
      <c r="N1" s="493"/>
      <c r="O1" s="493"/>
      <c r="P1" s="493"/>
      <c r="Q1" s="493"/>
      <c r="R1" s="493"/>
      <c r="S1" s="493"/>
      <c r="T1" s="493"/>
      <c r="U1" s="493"/>
      <c r="V1" s="493"/>
      <c r="W1" s="493"/>
      <c r="X1" s="493"/>
      <c r="Y1" s="493"/>
      <c r="Z1" s="493"/>
      <c r="AA1" s="494"/>
      <c r="AB1" s="495" t="s">
        <v>1</v>
      </c>
      <c r="AC1" s="496"/>
      <c r="AD1" s="497"/>
    </row>
    <row r="2" spans="1:30" ht="30.75" customHeight="1" x14ac:dyDescent="0.25">
      <c r="A2" s="490"/>
      <c r="B2" s="498" t="s">
        <v>2</v>
      </c>
      <c r="C2" s="499"/>
      <c r="D2" s="499"/>
      <c r="E2" s="499"/>
      <c r="F2" s="499"/>
      <c r="G2" s="499"/>
      <c r="H2" s="499"/>
      <c r="I2" s="499"/>
      <c r="J2" s="499"/>
      <c r="K2" s="499"/>
      <c r="L2" s="499"/>
      <c r="M2" s="499"/>
      <c r="N2" s="499"/>
      <c r="O2" s="499"/>
      <c r="P2" s="499"/>
      <c r="Q2" s="499"/>
      <c r="R2" s="499"/>
      <c r="S2" s="499"/>
      <c r="T2" s="499"/>
      <c r="U2" s="499"/>
      <c r="V2" s="499"/>
      <c r="W2" s="499"/>
      <c r="X2" s="499"/>
      <c r="Y2" s="499"/>
      <c r="Z2" s="499"/>
      <c r="AA2" s="500"/>
      <c r="AB2" s="501" t="s">
        <v>3</v>
      </c>
      <c r="AC2" s="502"/>
      <c r="AD2" s="503"/>
    </row>
    <row r="3" spans="1:30" ht="37.5" customHeight="1" x14ac:dyDescent="0.25">
      <c r="A3" s="490"/>
      <c r="B3" s="504" t="s">
        <v>4</v>
      </c>
      <c r="C3" s="505"/>
      <c r="D3" s="505"/>
      <c r="E3" s="505"/>
      <c r="F3" s="505"/>
      <c r="G3" s="505"/>
      <c r="H3" s="505"/>
      <c r="I3" s="505"/>
      <c r="J3" s="505"/>
      <c r="K3" s="505"/>
      <c r="L3" s="505"/>
      <c r="M3" s="505"/>
      <c r="N3" s="505"/>
      <c r="O3" s="505"/>
      <c r="P3" s="505"/>
      <c r="Q3" s="505"/>
      <c r="R3" s="505"/>
      <c r="S3" s="505"/>
      <c r="T3" s="505"/>
      <c r="U3" s="505"/>
      <c r="V3" s="505"/>
      <c r="W3" s="505"/>
      <c r="X3" s="505"/>
      <c r="Y3" s="505"/>
      <c r="Z3" s="505"/>
      <c r="AA3" s="506"/>
      <c r="AB3" s="501" t="s">
        <v>5</v>
      </c>
      <c r="AC3" s="502"/>
      <c r="AD3" s="503"/>
    </row>
    <row r="4" spans="1:30" ht="15.75" customHeight="1" thickBot="1" x14ac:dyDescent="0.3">
      <c r="A4" s="491"/>
      <c r="B4" s="507"/>
      <c r="C4" s="508"/>
      <c r="D4" s="508"/>
      <c r="E4" s="508"/>
      <c r="F4" s="508"/>
      <c r="G4" s="508"/>
      <c r="H4" s="508"/>
      <c r="I4" s="508"/>
      <c r="J4" s="508"/>
      <c r="K4" s="508"/>
      <c r="L4" s="508"/>
      <c r="M4" s="508"/>
      <c r="N4" s="508"/>
      <c r="O4" s="508"/>
      <c r="P4" s="508"/>
      <c r="Q4" s="508"/>
      <c r="R4" s="508"/>
      <c r="S4" s="508"/>
      <c r="T4" s="508"/>
      <c r="U4" s="508"/>
      <c r="V4" s="508"/>
      <c r="W4" s="508"/>
      <c r="X4" s="508"/>
      <c r="Y4" s="508"/>
      <c r="Z4" s="508"/>
      <c r="AA4" s="509"/>
      <c r="AB4" s="510" t="s">
        <v>6</v>
      </c>
      <c r="AC4" s="511"/>
      <c r="AD4" s="512"/>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515" t="s">
        <v>7</v>
      </c>
      <c r="B7" s="516"/>
      <c r="C7" s="521" t="s">
        <v>40</v>
      </c>
      <c r="D7" s="515" t="s">
        <v>9</v>
      </c>
      <c r="E7" s="524"/>
      <c r="F7" s="524"/>
      <c r="G7" s="524"/>
      <c r="H7" s="516"/>
      <c r="I7" s="527">
        <v>44929</v>
      </c>
      <c r="J7" s="528"/>
      <c r="K7" s="515" t="s">
        <v>10</v>
      </c>
      <c r="L7" s="516"/>
      <c r="M7" s="543" t="s">
        <v>11</v>
      </c>
      <c r="N7" s="544"/>
      <c r="O7" s="533"/>
      <c r="P7" s="534"/>
      <c r="Q7" s="54"/>
      <c r="R7" s="54"/>
      <c r="S7" s="54"/>
      <c r="T7" s="54"/>
      <c r="U7" s="54"/>
      <c r="V7" s="54"/>
      <c r="W7" s="54"/>
      <c r="X7" s="54"/>
      <c r="Y7" s="54"/>
      <c r="Z7" s="55"/>
      <c r="AA7" s="54"/>
      <c r="AB7" s="54"/>
      <c r="AC7" s="60"/>
      <c r="AD7" s="61"/>
    </row>
    <row r="8" spans="1:30" x14ac:dyDescent="0.25">
      <c r="A8" s="517"/>
      <c r="B8" s="518"/>
      <c r="C8" s="522"/>
      <c r="D8" s="517"/>
      <c r="E8" s="525"/>
      <c r="F8" s="525"/>
      <c r="G8" s="525"/>
      <c r="H8" s="518"/>
      <c r="I8" s="529"/>
      <c r="J8" s="530"/>
      <c r="K8" s="517"/>
      <c r="L8" s="518"/>
      <c r="M8" s="535" t="s">
        <v>12</v>
      </c>
      <c r="N8" s="536"/>
      <c r="O8" s="537"/>
      <c r="P8" s="538"/>
      <c r="Q8" s="54"/>
      <c r="R8" s="54"/>
      <c r="S8" s="54"/>
      <c r="T8" s="54"/>
      <c r="U8" s="54"/>
      <c r="V8" s="54"/>
      <c r="W8" s="54"/>
      <c r="X8" s="54"/>
      <c r="Y8" s="54"/>
      <c r="Z8" s="55"/>
      <c r="AA8" s="54"/>
      <c r="AB8" s="54"/>
      <c r="AC8" s="60"/>
      <c r="AD8" s="61"/>
    </row>
    <row r="9" spans="1:30" ht="15.75" thickBot="1" x14ac:dyDescent="0.3">
      <c r="A9" s="519"/>
      <c r="B9" s="520"/>
      <c r="C9" s="523"/>
      <c r="D9" s="519"/>
      <c r="E9" s="526"/>
      <c r="F9" s="526"/>
      <c r="G9" s="526"/>
      <c r="H9" s="520"/>
      <c r="I9" s="531"/>
      <c r="J9" s="532"/>
      <c r="K9" s="519"/>
      <c r="L9" s="520"/>
      <c r="M9" s="539" t="s">
        <v>13</v>
      </c>
      <c r="N9" s="540"/>
      <c r="O9" s="541" t="s">
        <v>14</v>
      </c>
      <c r="P9" s="542"/>
      <c r="Q9" s="54"/>
      <c r="R9" s="54"/>
      <c r="S9" s="54"/>
      <c r="T9" s="54"/>
      <c r="U9" s="54"/>
      <c r="V9" s="54"/>
      <c r="W9" s="54"/>
      <c r="X9" s="54"/>
      <c r="Y9" s="54"/>
      <c r="Z9" s="55"/>
      <c r="AA9" s="54"/>
      <c r="AB9" s="54"/>
      <c r="AC9" s="60"/>
      <c r="AD9" s="61"/>
    </row>
    <row r="10" spans="1:30" ht="15" customHeight="1" thickBot="1" x14ac:dyDescent="0.3">
      <c r="A10" s="151"/>
      <c r="B10" s="152"/>
      <c r="C10" s="152"/>
      <c r="D10" s="65"/>
      <c r="E10" s="65"/>
      <c r="F10" s="65"/>
      <c r="G10" s="65"/>
      <c r="H10" s="65"/>
      <c r="I10" s="212"/>
      <c r="J10" s="212"/>
      <c r="K10" s="65"/>
      <c r="L10" s="65"/>
      <c r="M10" s="213"/>
      <c r="N10" s="213"/>
      <c r="O10" s="112"/>
      <c r="P10" s="112"/>
      <c r="Q10" s="152"/>
      <c r="R10" s="152"/>
      <c r="S10" s="152"/>
      <c r="T10" s="152"/>
      <c r="U10" s="152"/>
      <c r="V10" s="152"/>
      <c r="W10" s="152"/>
      <c r="X10" s="152"/>
      <c r="Y10" s="152"/>
      <c r="Z10" s="153"/>
      <c r="AA10" s="152"/>
      <c r="AB10" s="152"/>
      <c r="AC10" s="154"/>
      <c r="AD10" s="155"/>
    </row>
    <row r="11" spans="1:30" ht="15" customHeight="1" x14ac:dyDescent="0.25">
      <c r="A11" s="515" t="s">
        <v>15</v>
      </c>
      <c r="B11" s="516"/>
      <c r="C11" s="701" t="s">
        <v>141</v>
      </c>
      <c r="D11" s="702"/>
      <c r="E11" s="702"/>
      <c r="F11" s="702"/>
      <c r="G11" s="702"/>
      <c r="H11" s="702"/>
      <c r="I11" s="702"/>
      <c r="J11" s="702"/>
      <c r="K11" s="702"/>
      <c r="L11" s="702"/>
      <c r="M11" s="702"/>
      <c r="N11" s="702"/>
      <c r="O11" s="702"/>
      <c r="P11" s="702"/>
      <c r="Q11" s="702"/>
      <c r="R11" s="702"/>
      <c r="S11" s="702"/>
      <c r="T11" s="702"/>
      <c r="U11" s="702"/>
      <c r="V11" s="702"/>
      <c r="W11" s="702"/>
      <c r="X11" s="702"/>
      <c r="Y11" s="702"/>
      <c r="Z11" s="702"/>
      <c r="AA11" s="702"/>
      <c r="AB11" s="702"/>
      <c r="AC11" s="702"/>
      <c r="AD11" s="703"/>
    </row>
    <row r="12" spans="1:30" ht="15" customHeight="1" x14ac:dyDescent="0.25">
      <c r="A12" s="517"/>
      <c r="B12" s="518"/>
      <c r="C12" s="704"/>
      <c r="D12" s="705"/>
      <c r="E12" s="705"/>
      <c r="F12" s="705"/>
      <c r="G12" s="705"/>
      <c r="H12" s="705"/>
      <c r="I12" s="705"/>
      <c r="J12" s="705"/>
      <c r="K12" s="705"/>
      <c r="L12" s="705"/>
      <c r="M12" s="705"/>
      <c r="N12" s="705"/>
      <c r="O12" s="705"/>
      <c r="P12" s="705"/>
      <c r="Q12" s="705"/>
      <c r="R12" s="705"/>
      <c r="S12" s="705"/>
      <c r="T12" s="705"/>
      <c r="U12" s="705"/>
      <c r="V12" s="705"/>
      <c r="W12" s="705"/>
      <c r="X12" s="705"/>
      <c r="Y12" s="705"/>
      <c r="Z12" s="705"/>
      <c r="AA12" s="705"/>
      <c r="AB12" s="705"/>
      <c r="AC12" s="705"/>
      <c r="AD12" s="706"/>
    </row>
    <row r="13" spans="1:30" ht="15" customHeight="1" thickBot="1" x14ac:dyDescent="0.3">
      <c r="A13" s="519"/>
      <c r="B13" s="520"/>
      <c r="C13" s="707"/>
      <c r="D13" s="708"/>
      <c r="E13" s="708"/>
      <c r="F13" s="708"/>
      <c r="G13" s="708"/>
      <c r="H13" s="708"/>
      <c r="I13" s="708"/>
      <c r="J13" s="708"/>
      <c r="K13" s="708"/>
      <c r="L13" s="708"/>
      <c r="M13" s="708"/>
      <c r="N13" s="708"/>
      <c r="O13" s="708"/>
      <c r="P13" s="708"/>
      <c r="Q13" s="708"/>
      <c r="R13" s="708"/>
      <c r="S13" s="708"/>
      <c r="T13" s="708"/>
      <c r="U13" s="708"/>
      <c r="V13" s="708"/>
      <c r="W13" s="708"/>
      <c r="X13" s="708"/>
      <c r="Y13" s="708"/>
      <c r="Z13" s="708"/>
      <c r="AA13" s="708"/>
      <c r="AB13" s="708"/>
      <c r="AC13" s="708"/>
      <c r="AD13" s="709"/>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x14ac:dyDescent="0.3">
      <c r="A15" s="471" t="s">
        <v>17</v>
      </c>
      <c r="B15" s="472"/>
      <c r="C15" s="574" t="s">
        <v>18</v>
      </c>
      <c r="D15" s="575"/>
      <c r="E15" s="575"/>
      <c r="F15" s="575"/>
      <c r="G15" s="575"/>
      <c r="H15" s="575"/>
      <c r="I15" s="575"/>
      <c r="J15" s="575"/>
      <c r="K15" s="576"/>
      <c r="L15" s="484" t="s">
        <v>19</v>
      </c>
      <c r="M15" s="488"/>
      <c r="N15" s="488"/>
      <c r="O15" s="488"/>
      <c r="P15" s="488"/>
      <c r="Q15" s="485"/>
      <c r="R15" s="481" t="s">
        <v>20</v>
      </c>
      <c r="S15" s="482"/>
      <c r="T15" s="482"/>
      <c r="U15" s="482"/>
      <c r="V15" s="482"/>
      <c r="W15" s="482"/>
      <c r="X15" s="483"/>
      <c r="Y15" s="484" t="s">
        <v>21</v>
      </c>
      <c r="Z15" s="485"/>
      <c r="AA15" s="467" t="s">
        <v>123</v>
      </c>
      <c r="AB15" s="468"/>
      <c r="AC15" s="468"/>
      <c r="AD15" s="469"/>
    </row>
    <row r="16" spans="1:30" ht="9" customHeight="1" thickBot="1" x14ac:dyDescent="0.3">
      <c r="A16" s="59"/>
      <c r="B16" s="54"/>
      <c r="C16" s="470"/>
      <c r="D16" s="470"/>
      <c r="E16" s="470"/>
      <c r="F16" s="470"/>
      <c r="G16" s="470"/>
      <c r="H16" s="470"/>
      <c r="I16" s="470"/>
      <c r="J16" s="470"/>
      <c r="K16" s="470"/>
      <c r="L16" s="470"/>
      <c r="M16" s="470"/>
      <c r="N16" s="470"/>
      <c r="O16" s="470"/>
      <c r="P16" s="470"/>
      <c r="Q16" s="470"/>
      <c r="R16" s="470"/>
      <c r="S16" s="470"/>
      <c r="T16" s="470"/>
      <c r="U16" s="470"/>
      <c r="V16" s="470"/>
      <c r="W16" s="470"/>
      <c r="X16" s="470"/>
      <c r="Y16" s="470"/>
      <c r="Z16" s="470"/>
      <c r="AA16" s="470"/>
      <c r="AB16" s="470"/>
      <c r="AC16" s="73"/>
      <c r="AD16" s="74"/>
    </row>
    <row r="17" spans="1:41" s="214" customFormat="1" ht="37.5" customHeight="1" thickBot="1" x14ac:dyDescent="0.3">
      <c r="A17" s="471" t="s">
        <v>23</v>
      </c>
      <c r="B17" s="472"/>
      <c r="C17" s="574" t="s">
        <v>142</v>
      </c>
      <c r="D17" s="575"/>
      <c r="E17" s="575"/>
      <c r="F17" s="575"/>
      <c r="G17" s="575"/>
      <c r="H17" s="575"/>
      <c r="I17" s="575"/>
      <c r="J17" s="575"/>
      <c r="K17" s="575"/>
      <c r="L17" s="575"/>
      <c r="M17" s="575"/>
      <c r="N17" s="575"/>
      <c r="O17" s="575"/>
      <c r="P17" s="575"/>
      <c r="Q17" s="576"/>
      <c r="R17" s="484" t="s">
        <v>25</v>
      </c>
      <c r="S17" s="488"/>
      <c r="T17" s="488"/>
      <c r="U17" s="488"/>
      <c r="V17" s="485"/>
      <c r="W17" s="486">
        <v>1</v>
      </c>
      <c r="X17" s="487"/>
      <c r="Y17" s="488" t="s">
        <v>26</v>
      </c>
      <c r="Z17" s="488"/>
      <c r="AA17" s="488"/>
      <c r="AB17" s="485"/>
      <c r="AC17" s="476">
        <v>0.1</v>
      </c>
      <c r="AD17" s="477"/>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25" customHeight="1" thickBot="1" x14ac:dyDescent="0.3">
      <c r="A19" s="484" t="s">
        <v>27</v>
      </c>
      <c r="B19" s="488"/>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5"/>
      <c r="AE19" s="215"/>
      <c r="AF19" s="215"/>
    </row>
    <row r="20" spans="1:41" ht="32.25" customHeight="1" thickBot="1" x14ac:dyDescent="0.3">
      <c r="A20" s="246"/>
      <c r="B20" s="58"/>
      <c r="C20" s="484" t="s">
        <v>28</v>
      </c>
      <c r="D20" s="488"/>
      <c r="E20" s="488"/>
      <c r="F20" s="488"/>
      <c r="G20" s="488"/>
      <c r="H20" s="488"/>
      <c r="I20" s="488"/>
      <c r="J20" s="488"/>
      <c r="K20" s="488"/>
      <c r="L20" s="488"/>
      <c r="M20" s="488"/>
      <c r="N20" s="488"/>
      <c r="O20" s="488"/>
      <c r="P20" s="485"/>
      <c r="Q20" s="484" t="s">
        <v>29</v>
      </c>
      <c r="R20" s="488"/>
      <c r="S20" s="488"/>
      <c r="T20" s="488"/>
      <c r="U20" s="488"/>
      <c r="V20" s="488"/>
      <c r="W20" s="488"/>
      <c r="X20" s="488"/>
      <c r="Y20" s="488"/>
      <c r="Z20" s="488"/>
      <c r="AA20" s="488"/>
      <c r="AB20" s="488"/>
      <c r="AC20" s="488"/>
      <c r="AD20" s="485"/>
      <c r="AE20" s="215"/>
      <c r="AF20" s="215"/>
    </row>
    <row r="21" spans="1:41" ht="32.25" customHeight="1" thickBot="1" x14ac:dyDescent="0.3">
      <c r="A21" s="59"/>
      <c r="B21" s="247"/>
      <c r="C21" s="324" t="s">
        <v>30</v>
      </c>
      <c r="D21" s="187" t="s">
        <v>31</v>
      </c>
      <c r="E21" s="187" t="s">
        <v>32</v>
      </c>
      <c r="F21" s="187" t="s">
        <v>33</v>
      </c>
      <c r="G21" s="187" t="s">
        <v>34</v>
      </c>
      <c r="H21" s="187" t="s">
        <v>35</v>
      </c>
      <c r="I21" s="187" t="s">
        <v>8</v>
      </c>
      <c r="J21" s="187" t="s">
        <v>36</v>
      </c>
      <c r="K21" s="187" t="s">
        <v>37</v>
      </c>
      <c r="L21" s="187" t="s">
        <v>38</v>
      </c>
      <c r="M21" s="187" t="s">
        <v>39</v>
      </c>
      <c r="N21" s="187" t="s">
        <v>40</v>
      </c>
      <c r="O21" s="187" t="s">
        <v>41</v>
      </c>
      <c r="P21" s="188" t="s">
        <v>42</v>
      </c>
      <c r="Q21" s="324" t="s">
        <v>30</v>
      </c>
      <c r="R21" s="187" t="s">
        <v>31</v>
      </c>
      <c r="S21" s="187" t="s">
        <v>32</v>
      </c>
      <c r="T21" s="187" t="s">
        <v>33</v>
      </c>
      <c r="U21" s="187" t="s">
        <v>34</v>
      </c>
      <c r="V21" s="187" t="s">
        <v>35</v>
      </c>
      <c r="W21" s="187" t="s">
        <v>8</v>
      </c>
      <c r="X21" s="187" t="s">
        <v>36</v>
      </c>
      <c r="Y21" s="187" t="s">
        <v>37</v>
      </c>
      <c r="Z21" s="187" t="s">
        <v>38</v>
      </c>
      <c r="AA21" s="187" t="s">
        <v>39</v>
      </c>
      <c r="AB21" s="187" t="s">
        <v>40</v>
      </c>
      <c r="AC21" s="187" t="s">
        <v>41</v>
      </c>
      <c r="AD21" s="188" t="s">
        <v>42</v>
      </c>
      <c r="AE21" s="216"/>
      <c r="AF21" s="216"/>
    </row>
    <row r="22" spans="1:41" ht="32.25" customHeight="1" x14ac:dyDescent="0.25">
      <c r="A22" s="180" t="s">
        <v>43</v>
      </c>
      <c r="B22" s="248"/>
      <c r="C22" s="245"/>
      <c r="D22" s="239" t="s">
        <v>44</v>
      </c>
      <c r="E22" s="239" t="s">
        <v>44</v>
      </c>
      <c r="F22" s="239" t="s">
        <v>44</v>
      </c>
      <c r="G22" s="239" t="s">
        <v>44</v>
      </c>
      <c r="H22" s="239" t="s">
        <v>44</v>
      </c>
      <c r="I22" s="239" t="s">
        <v>44</v>
      </c>
      <c r="J22" s="239" t="s">
        <v>44</v>
      </c>
      <c r="K22" s="239" t="s">
        <v>44</v>
      </c>
      <c r="L22" s="239" t="s">
        <v>44</v>
      </c>
      <c r="M22" s="239" t="s">
        <v>44</v>
      </c>
      <c r="N22" s="239" t="s">
        <v>44</v>
      </c>
      <c r="O22" s="239">
        <f>SUM(C22:N22)</f>
        <v>0</v>
      </c>
      <c r="P22" s="237"/>
      <c r="Q22" s="253">
        <v>449548824.75</v>
      </c>
      <c r="R22" s="239"/>
      <c r="S22" s="239"/>
      <c r="T22" s="239">
        <f>750000+57597167.6+8596121.2</f>
        <v>66943288.799999997</v>
      </c>
      <c r="U22" s="239">
        <v>12000000</v>
      </c>
      <c r="V22" s="241"/>
      <c r="W22" s="241"/>
      <c r="X22" s="241"/>
      <c r="Y22" s="241"/>
      <c r="Z22" s="241"/>
      <c r="AA22" s="241"/>
      <c r="AB22" s="241">
        <f>540619927-Q22-R22-S22-T22-U22-V22-W22-X22-Y22-Z22-AA22</f>
        <v>12127813.450000003</v>
      </c>
      <c r="AC22" s="239">
        <f>SUM(Q22:AB22)</f>
        <v>540619927</v>
      </c>
      <c r="AD22" s="284"/>
      <c r="AE22" s="216"/>
      <c r="AF22" s="216"/>
    </row>
    <row r="23" spans="1:41" ht="32.25" customHeight="1" x14ac:dyDescent="0.25">
      <c r="A23" s="181" t="s">
        <v>45</v>
      </c>
      <c r="B23" s="182"/>
      <c r="C23" s="238" t="s">
        <v>46</v>
      </c>
      <c r="D23" s="239" t="s">
        <v>46</v>
      </c>
      <c r="E23" s="239" t="s">
        <v>46</v>
      </c>
      <c r="F23" s="239" t="s">
        <v>46</v>
      </c>
      <c r="G23" s="239" t="s">
        <v>46</v>
      </c>
      <c r="H23" s="239" t="s">
        <v>46</v>
      </c>
      <c r="I23" s="239" t="s">
        <v>46</v>
      </c>
      <c r="J23" s="239" t="s">
        <v>46</v>
      </c>
      <c r="K23" s="239" t="s">
        <v>46</v>
      </c>
      <c r="L23" s="239" t="s">
        <v>46</v>
      </c>
      <c r="M23" s="239" t="s">
        <v>46</v>
      </c>
      <c r="N23" s="239" t="s">
        <v>46</v>
      </c>
      <c r="O23" s="241" t="s">
        <v>46</v>
      </c>
      <c r="P23" s="237"/>
      <c r="Q23" s="245">
        <v>410133325</v>
      </c>
      <c r="R23" s="241">
        <v>0</v>
      </c>
      <c r="S23" s="241">
        <f>406536357-Q23</f>
        <v>-3596968</v>
      </c>
      <c r="T23" s="241">
        <v>10699642</v>
      </c>
      <c r="U23" s="241">
        <f>424965393-Q23-R23-S23-T23</f>
        <v>7729394</v>
      </c>
      <c r="V23" s="241">
        <f>482417460-Q23-R23-S23-T23-U23</f>
        <v>57452067</v>
      </c>
      <c r="W23" s="241">
        <f>528392760-Q23-R23-S23-T23-U23-V23</f>
        <v>45975300</v>
      </c>
      <c r="X23" s="241">
        <f>528392760-Q23-R23-S23-T23-U23-V23-W23</f>
        <v>0</v>
      </c>
      <c r="Y23" s="241">
        <f>527869927-Q23-R23-S23-T23-U23-V23-W23-X23</f>
        <v>-522833</v>
      </c>
      <c r="Z23" s="241">
        <f>527869927-Q23-R23-S23-T23-U23-V23-W23-X23-Y23</f>
        <v>0</v>
      </c>
      <c r="AA23" s="241">
        <f>527869927-Q23-R23-S23-T23-U23-V23-W23-X23-Y23-Z23</f>
        <v>0</v>
      </c>
      <c r="AB23" s="241">
        <f>540343097-Q23-R23-S23-T23-U23-V23-W23-X23-Y23-Z23-AA23</f>
        <v>12473170</v>
      </c>
      <c r="AC23" s="241">
        <f>SUM(Q23:AB23)</f>
        <v>540343097</v>
      </c>
      <c r="AD23" s="283">
        <f>(SUM(Q23:AB23)/SUM(Q22:AB22))</f>
        <v>0.99948793970370986</v>
      </c>
      <c r="AE23" s="216"/>
      <c r="AF23" s="216"/>
    </row>
    <row r="24" spans="1:41" ht="32.25" customHeight="1" x14ac:dyDescent="0.25">
      <c r="A24" s="181" t="s">
        <v>47</v>
      </c>
      <c r="B24" s="182"/>
      <c r="C24" s="253" t="s">
        <v>44</v>
      </c>
      <c r="D24" s="241">
        <f>1013333+3500000</f>
        <v>4513333</v>
      </c>
      <c r="E24" s="241">
        <v>14373449</v>
      </c>
      <c r="F24" s="241">
        <f>37917+3611455</f>
        <v>3649372</v>
      </c>
      <c r="G24" s="241">
        <f>17499999-17816665.5-3537916.75509256</f>
        <v>-3854583.2550925598</v>
      </c>
      <c r="H24" s="239" t="s">
        <v>44</v>
      </c>
      <c r="I24" s="239">
        <v>-509256</v>
      </c>
      <c r="J24" s="239" t="s">
        <v>44</v>
      </c>
      <c r="K24" s="239" t="s">
        <v>44</v>
      </c>
      <c r="L24" s="239" t="s">
        <v>44</v>
      </c>
      <c r="M24" s="239" t="s">
        <v>44</v>
      </c>
      <c r="N24" s="239" t="s">
        <v>44</v>
      </c>
      <c r="O24" s="272">
        <f>SUM(C24:N24)</f>
        <v>18172314.744907439</v>
      </c>
      <c r="P24" s="237"/>
      <c r="Q24" s="256"/>
      <c r="R24" s="241">
        <v>21074866.0933333</v>
      </c>
      <c r="S24" s="239">
        <v>38101431.693333298</v>
      </c>
      <c r="T24" s="239">
        <v>37767764.743333302</v>
      </c>
      <c r="U24" s="239">
        <v>37767764.493333302</v>
      </c>
      <c r="V24" s="239">
        <v>44967410</v>
      </c>
      <c r="W24" s="241">
        <v>50815014.493333302</v>
      </c>
      <c r="X24" s="241">
        <v>53815014.493333302</v>
      </c>
      <c r="Y24" s="241">
        <v>53815014.493333302</v>
      </c>
      <c r="Z24" s="241">
        <v>53815014.493333302</v>
      </c>
      <c r="AA24" s="241">
        <v>53815014.493333302</v>
      </c>
      <c r="AB24" s="241">
        <f>540619927-Q24-R24-S24-T24-U24-V24-W24-X24-Y24-Z24-AA24</f>
        <v>94865617.510000288</v>
      </c>
      <c r="AC24" s="241">
        <f>SUM(Q24:AB24)</f>
        <v>540619927</v>
      </c>
      <c r="AD24" s="284"/>
      <c r="AE24" s="216"/>
      <c r="AF24" s="216"/>
      <c r="AG24" s="217"/>
    </row>
    <row r="25" spans="1:41" ht="32.25" customHeight="1" thickBot="1" x14ac:dyDescent="0.3">
      <c r="A25" s="183" t="s">
        <v>48</v>
      </c>
      <c r="B25" s="249"/>
      <c r="C25" s="254">
        <v>696667</v>
      </c>
      <c r="D25" s="255">
        <f>7612284-C25</f>
        <v>6915617</v>
      </c>
      <c r="E25" s="255">
        <v>2781031</v>
      </c>
      <c r="F25" s="255">
        <v>1430394</v>
      </c>
      <c r="G25" s="255">
        <f>18172315-C25-D25-E25-F25</f>
        <v>6348606</v>
      </c>
      <c r="H25" s="255"/>
      <c r="I25" s="255"/>
      <c r="J25" s="255" t="s">
        <v>44</v>
      </c>
      <c r="K25" s="255" t="s">
        <v>44</v>
      </c>
      <c r="L25" s="255" t="s">
        <v>44</v>
      </c>
      <c r="M25" s="255" t="s">
        <v>44</v>
      </c>
      <c r="N25" s="255" t="s">
        <v>44</v>
      </c>
      <c r="O25" s="255">
        <f>SUM(C25:N25)</f>
        <v>18172315</v>
      </c>
      <c r="P25" s="282">
        <f>(SUM(C25:I25)/SUM(C24:I24))</f>
        <v>1.0000000140374281</v>
      </c>
      <c r="Q25" s="257" t="s">
        <v>44</v>
      </c>
      <c r="R25" s="258">
        <v>18037790</v>
      </c>
      <c r="S25" s="258">
        <v>36241892</v>
      </c>
      <c r="T25" s="258">
        <v>35434550</v>
      </c>
      <c r="U25" s="258">
        <f>125148782-R25-S25-T25</f>
        <v>35434550</v>
      </c>
      <c r="V25" s="258">
        <f>169422974-R25-S25-T25-U25</f>
        <v>44274192</v>
      </c>
      <c r="W25" s="258">
        <f>203747276-R25-S25-T25-U25-V25</f>
        <v>34324302</v>
      </c>
      <c r="X25" s="258">
        <f>254097963-R25-S25-T25-U25-V25-W25</f>
        <v>50350687</v>
      </c>
      <c r="Y25" s="258">
        <f>302931984-R25-S25-T25-U25-V25-W25-X25</f>
        <v>48834021</v>
      </c>
      <c r="Z25" s="258">
        <f>333265742-R25-S25-T25-U25-V25-W25-X25-Y25</f>
        <v>30333758</v>
      </c>
      <c r="AA25" s="258">
        <f>377612842-R25-S25-T25-U25-V25-W25-X25-Y25-Z25</f>
        <v>44347100</v>
      </c>
      <c r="AB25" s="258">
        <f>523514647-R25-S25-T25-U25-V25-W25-X25-Y25-Z25-AA25</f>
        <v>145901805</v>
      </c>
      <c r="AC25" s="258">
        <f>SUM(Q25:AB25)</f>
        <v>523514647</v>
      </c>
      <c r="AD25" s="282">
        <f>(SUM(Q25:AB25)/SUM(Q24:AB24))</f>
        <v>0.96835987882481434</v>
      </c>
      <c r="AE25" s="216"/>
      <c r="AF25" s="216"/>
      <c r="AG25" s="217"/>
    </row>
    <row r="26" spans="1:41" ht="32.25" customHeight="1" thickBot="1" x14ac:dyDescent="0.3">
      <c r="A26" s="59"/>
      <c r="B26" s="54"/>
      <c r="C26" s="80"/>
      <c r="D26" s="80"/>
      <c r="E26" s="80"/>
      <c r="F26" s="80"/>
      <c r="G26" s="80"/>
      <c r="H26" s="80"/>
      <c r="I26" s="80"/>
      <c r="J26" s="80"/>
      <c r="K26" s="80"/>
      <c r="L26" s="80"/>
      <c r="M26" s="80"/>
      <c r="N26" s="80"/>
      <c r="O26" s="268"/>
      <c r="P26" s="268"/>
      <c r="Q26" s="80"/>
      <c r="R26" s="80"/>
      <c r="S26" s="80"/>
      <c r="T26" s="80"/>
      <c r="U26" s="80"/>
      <c r="V26" s="80"/>
      <c r="W26" s="80"/>
      <c r="X26" s="80"/>
      <c r="Y26" s="80"/>
      <c r="Z26" s="80"/>
      <c r="AA26" s="80"/>
      <c r="AB26" s="80"/>
      <c r="AC26" s="60"/>
      <c r="AD26" s="155"/>
    </row>
    <row r="27" spans="1:41" ht="33.950000000000003" customHeight="1" x14ac:dyDescent="0.25">
      <c r="A27" s="463" t="s">
        <v>49</v>
      </c>
      <c r="B27" s="464"/>
      <c r="C27" s="465"/>
      <c r="D27" s="465"/>
      <c r="E27" s="465"/>
      <c r="F27" s="465"/>
      <c r="G27" s="465"/>
      <c r="H27" s="465"/>
      <c r="I27" s="465"/>
      <c r="J27" s="465"/>
      <c r="K27" s="465"/>
      <c r="L27" s="465"/>
      <c r="M27" s="465"/>
      <c r="N27" s="465"/>
      <c r="O27" s="465"/>
      <c r="P27" s="465"/>
      <c r="Q27" s="465"/>
      <c r="R27" s="465"/>
      <c r="S27" s="465"/>
      <c r="T27" s="465"/>
      <c r="U27" s="465"/>
      <c r="V27" s="465"/>
      <c r="W27" s="465"/>
      <c r="X27" s="465"/>
      <c r="Y27" s="465"/>
      <c r="Z27" s="465"/>
      <c r="AA27" s="465"/>
      <c r="AB27" s="465"/>
      <c r="AC27" s="465"/>
      <c r="AD27" s="466"/>
    </row>
    <row r="28" spans="1:41" ht="15" customHeight="1" x14ac:dyDescent="0.25">
      <c r="A28" s="458" t="s">
        <v>50</v>
      </c>
      <c r="B28" s="460" t="s">
        <v>51</v>
      </c>
      <c r="C28" s="461"/>
      <c r="D28" s="423" t="s">
        <v>52</v>
      </c>
      <c r="E28" s="424"/>
      <c r="F28" s="424"/>
      <c r="G28" s="424"/>
      <c r="H28" s="424"/>
      <c r="I28" s="424"/>
      <c r="J28" s="424"/>
      <c r="K28" s="424"/>
      <c r="L28" s="424"/>
      <c r="M28" s="424"/>
      <c r="N28" s="424"/>
      <c r="O28" s="462"/>
      <c r="P28" s="451" t="s">
        <v>41</v>
      </c>
      <c r="Q28" s="451" t="s">
        <v>53</v>
      </c>
      <c r="R28" s="451"/>
      <c r="S28" s="451"/>
      <c r="T28" s="451"/>
      <c r="U28" s="451"/>
      <c r="V28" s="451"/>
      <c r="W28" s="451"/>
      <c r="X28" s="451"/>
      <c r="Y28" s="451"/>
      <c r="Z28" s="451"/>
      <c r="AA28" s="451"/>
      <c r="AB28" s="451"/>
      <c r="AC28" s="451"/>
      <c r="AD28" s="453"/>
    </row>
    <row r="29" spans="1:41" ht="27" customHeight="1" x14ac:dyDescent="0.25">
      <c r="A29" s="459"/>
      <c r="B29" s="454"/>
      <c r="C29" s="456"/>
      <c r="D29" s="88" t="s">
        <v>30</v>
      </c>
      <c r="E29" s="88" t="s">
        <v>31</v>
      </c>
      <c r="F29" s="88" t="s">
        <v>32</v>
      </c>
      <c r="G29" s="88" t="s">
        <v>33</v>
      </c>
      <c r="H29" s="88" t="s">
        <v>34</v>
      </c>
      <c r="I29" s="88" t="s">
        <v>35</v>
      </c>
      <c r="J29" s="88" t="s">
        <v>8</v>
      </c>
      <c r="K29" s="88" t="s">
        <v>36</v>
      </c>
      <c r="L29" s="88" t="s">
        <v>37</v>
      </c>
      <c r="M29" s="88" t="s">
        <v>38</v>
      </c>
      <c r="N29" s="88" t="s">
        <v>39</v>
      </c>
      <c r="O29" s="88" t="s">
        <v>40</v>
      </c>
      <c r="P29" s="462"/>
      <c r="Q29" s="451"/>
      <c r="R29" s="451"/>
      <c r="S29" s="451"/>
      <c r="T29" s="451"/>
      <c r="U29" s="451"/>
      <c r="V29" s="451"/>
      <c r="W29" s="451"/>
      <c r="X29" s="451"/>
      <c r="Y29" s="451"/>
      <c r="Z29" s="451"/>
      <c r="AA29" s="451"/>
      <c r="AB29" s="451"/>
      <c r="AC29" s="451"/>
      <c r="AD29" s="453"/>
    </row>
    <row r="30" spans="1:41" ht="72" customHeight="1" thickBot="1" x14ac:dyDescent="0.3">
      <c r="A30" s="211" t="s">
        <v>142</v>
      </c>
      <c r="B30" s="699"/>
      <c r="C30" s="700"/>
      <c r="D30" s="89"/>
      <c r="E30" s="89"/>
      <c r="F30" s="270"/>
      <c r="G30" s="89"/>
      <c r="H30" s="89"/>
      <c r="I30" s="89"/>
      <c r="J30" s="89"/>
      <c r="K30" s="89"/>
      <c r="L30" s="89"/>
      <c r="M30" s="89"/>
      <c r="N30" s="89"/>
      <c r="O30" s="89"/>
      <c r="P30" s="86">
        <f>SUM(D30:O30)</f>
        <v>0</v>
      </c>
      <c r="Q30" s="446" t="s">
        <v>549</v>
      </c>
      <c r="R30" s="446"/>
      <c r="S30" s="446"/>
      <c r="T30" s="446"/>
      <c r="U30" s="446"/>
      <c r="V30" s="446"/>
      <c r="W30" s="446"/>
      <c r="X30" s="446"/>
      <c r="Y30" s="446"/>
      <c r="Z30" s="446"/>
      <c r="AA30" s="446"/>
      <c r="AB30" s="446"/>
      <c r="AC30" s="446"/>
      <c r="AD30" s="447"/>
    </row>
    <row r="31" spans="1:41" ht="45" customHeight="1" x14ac:dyDescent="0.25">
      <c r="A31" s="448" t="s">
        <v>55</v>
      </c>
      <c r="B31" s="449"/>
      <c r="C31" s="449"/>
      <c r="D31" s="449"/>
      <c r="E31" s="449"/>
      <c r="F31" s="449"/>
      <c r="G31" s="449"/>
      <c r="H31" s="449"/>
      <c r="I31" s="449"/>
      <c r="J31" s="449"/>
      <c r="K31" s="449"/>
      <c r="L31" s="449"/>
      <c r="M31" s="449"/>
      <c r="N31" s="449"/>
      <c r="O31" s="449"/>
      <c r="P31" s="449"/>
      <c r="Q31" s="449"/>
      <c r="R31" s="449"/>
      <c r="S31" s="449"/>
      <c r="T31" s="449"/>
      <c r="U31" s="449"/>
      <c r="V31" s="449"/>
      <c r="W31" s="449"/>
      <c r="X31" s="449"/>
      <c r="Y31" s="449"/>
      <c r="Z31" s="449"/>
      <c r="AA31" s="449"/>
      <c r="AB31" s="449"/>
      <c r="AC31" s="449"/>
      <c r="AD31" s="450"/>
    </row>
    <row r="32" spans="1:41" ht="23.25" customHeight="1" x14ac:dyDescent="0.25">
      <c r="A32" s="416" t="s">
        <v>56</v>
      </c>
      <c r="B32" s="451" t="s">
        <v>57</v>
      </c>
      <c r="C32" s="451" t="s">
        <v>51</v>
      </c>
      <c r="D32" s="451" t="s">
        <v>58</v>
      </c>
      <c r="E32" s="451"/>
      <c r="F32" s="451"/>
      <c r="G32" s="451"/>
      <c r="H32" s="451"/>
      <c r="I32" s="451"/>
      <c r="J32" s="451"/>
      <c r="K32" s="451"/>
      <c r="L32" s="451"/>
      <c r="M32" s="451"/>
      <c r="N32" s="451"/>
      <c r="O32" s="451"/>
      <c r="P32" s="451"/>
      <c r="Q32" s="451" t="s">
        <v>59</v>
      </c>
      <c r="R32" s="451"/>
      <c r="S32" s="451"/>
      <c r="T32" s="451"/>
      <c r="U32" s="451"/>
      <c r="V32" s="451"/>
      <c r="W32" s="451"/>
      <c r="X32" s="451"/>
      <c r="Y32" s="451"/>
      <c r="Z32" s="451"/>
      <c r="AA32" s="451"/>
      <c r="AB32" s="451"/>
      <c r="AC32" s="451"/>
      <c r="AD32" s="453"/>
      <c r="AG32" s="218"/>
      <c r="AH32" s="218"/>
      <c r="AI32" s="218"/>
      <c r="AJ32" s="218"/>
      <c r="AK32" s="218"/>
      <c r="AL32" s="218"/>
      <c r="AM32" s="218"/>
      <c r="AN32" s="218"/>
      <c r="AO32" s="218"/>
    </row>
    <row r="33" spans="1:41" ht="23.25" customHeight="1" x14ac:dyDescent="0.25">
      <c r="A33" s="416"/>
      <c r="B33" s="451"/>
      <c r="C33" s="452"/>
      <c r="D33" s="88" t="s">
        <v>30</v>
      </c>
      <c r="E33" s="88" t="s">
        <v>31</v>
      </c>
      <c r="F33" s="88" t="s">
        <v>32</v>
      </c>
      <c r="G33" s="88" t="s">
        <v>33</v>
      </c>
      <c r="H33" s="88" t="s">
        <v>34</v>
      </c>
      <c r="I33" s="88" t="s">
        <v>35</v>
      </c>
      <c r="J33" s="88" t="s">
        <v>8</v>
      </c>
      <c r="K33" s="88" t="s">
        <v>36</v>
      </c>
      <c r="L33" s="88" t="s">
        <v>37</v>
      </c>
      <c r="M33" s="88" t="s">
        <v>38</v>
      </c>
      <c r="N33" s="88" t="s">
        <v>39</v>
      </c>
      <c r="O33" s="88" t="s">
        <v>40</v>
      </c>
      <c r="P33" s="88" t="s">
        <v>41</v>
      </c>
      <c r="Q33" s="454" t="s">
        <v>60</v>
      </c>
      <c r="R33" s="455"/>
      <c r="S33" s="455"/>
      <c r="T33" s="455"/>
      <c r="U33" s="455"/>
      <c r="V33" s="456"/>
      <c r="W33" s="454" t="s">
        <v>61</v>
      </c>
      <c r="X33" s="455"/>
      <c r="Y33" s="455"/>
      <c r="Z33" s="456"/>
      <c r="AA33" s="454" t="s">
        <v>62</v>
      </c>
      <c r="AB33" s="455"/>
      <c r="AC33" s="455"/>
      <c r="AD33" s="457"/>
      <c r="AG33" s="218"/>
      <c r="AH33" s="218"/>
      <c r="AI33" s="218"/>
      <c r="AJ33" s="218"/>
      <c r="AK33" s="218"/>
      <c r="AL33" s="218"/>
      <c r="AM33" s="218"/>
      <c r="AN33" s="218"/>
      <c r="AO33" s="218"/>
    </row>
    <row r="34" spans="1:41" ht="107.25" customHeight="1" x14ac:dyDescent="0.25">
      <c r="A34" s="555" t="s">
        <v>142</v>
      </c>
      <c r="B34" s="428">
        <f>SUM(B38,B40,B42)</f>
        <v>0.1</v>
      </c>
      <c r="C34" s="90" t="s">
        <v>63</v>
      </c>
      <c r="D34" s="206">
        <f>D67</f>
        <v>0</v>
      </c>
      <c r="E34" s="206">
        <f t="shared" ref="E34:O34" si="0">E67</f>
        <v>5.000000000000001E-2</v>
      </c>
      <c r="F34" s="206">
        <f t="shared" si="0"/>
        <v>6.2500000000000014E-2</v>
      </c>
      <c r="G34" s="206">
        <f t="shared" si="0"/>
        <v>7.5000000000000011E-2</v>
      </c>
      <c r="H34" s="206">
        <f t="shared" si="0"/>
        <v>7.5000000000000011E-2</v>
      </c>
      <c r="I34" s="206">
        <f t="shared" si="0"/>
        <v>0.11249999999999999</v>
      </c>
      <c r="J34" s="206">
        <f t="shared" si="0"/>
        <v>0.13750000000000001</v>
      </c>
      <c r="K34" s="206">
        <f t="shared" si="0"/>
        <v>0.13749999999999998</v>
      </c>
      <c r="L34" s="206">
        <f t="shared" si="0"/>
        <v>0.13749999999999998</v>
      </c>
      <c r="M34" s="206">
        <f t="shared" si="0"/>
        <v>0.11249999999999999</v>
      </c>
      <c r="N34" s="206">
        <f t="shared" si="0"/>
        <v>7.5000000000000011E-2</v>
      </c>
      <c r="O34" s="206">
        <f t="shared" si="0"/>
        <v>2.5000000000000005E-2</v>
      </c>
      <c r="P34" s="207">
        <f>SUM(D34:O34)</f>
        <v>0.99999999999999989</v>
      </c>
      <c r="Q34" s="430" t="s">
        <v>598</v>
      </c>
      <c r="R34" s="431"/>
      <c r="S34" s="431"/>
      <c r="T34" s="431"/>
      <c r="U34" s="431"/>
      <c r="V34" s="432"/>
      <c r="W34" s="436" t="s">
        <v>143</v>
      </c>
      <c r="X34" s="437"/>
      <c r="Y34" s="437"/>
      <c r="Z34" s="438"/>
      <c r="AA34" s="430" t="s">
        <v>534</v>
      </c>
      <c r="AB34" s="431"/>
      <c r="AC34" s="431"/>
      <c r="AD34" s="442"/>
      <c r="AG34" s="218"/>
      <c r="AH34" s="218"/>
      <c r="AI34" s="218"/>
      <c r="AJ34" s="218"/>
      <c r="AK34" s="218"/>
      <c r="AL34" s="218"/>
      <c r="AM34" s="218"/>
      <c r="AN34" s="218"/>
      <c r="AO34" s="218"/>
    </row>
    <row r="35" spans="1:41" ht="107.25" customHeight="1" thickBot="1" x14ac:dyDescent="0.3">
      <c r="A35" s="692"/>
      <c r="B35" s="429"/>
      <c r="C35" s="91" t="s">
        <v>64</v>
      </c>
      <c r="D35" s="210">
        <f>D64</f>
        <v>3.7500000000000006E-2</v>
      </c>
      <c r="E35" s="210">
        <f t="shared" ref="E35:N35" si="1">E64</f>
        <v>5.000000000000001E-2</v>
      </c>
      <c r="F35" s="210">
        <f t="shared" si="1"/>
        <v>6.2500000000000014E-2</v>
      </c>
      <c r="G35" s="210">
        <f t="shared" si="1"/>
        <v>7.5000000000000011E-2</v>
      </c>
      <c r="H35" s="210">
        <f t="shared" si="1"/>
        <v>7.5000000000000011E-2</v>
      </c>
      <c r="I35" s="210">
        <f t="shared" si="1"/>
        <v>0.11249999999999999</v>
      </c>
      <c r="J35" s="210">
        <f t="shared" si="1"/>
        <v>0.13750000000000001</v>
      </c>
      <c r="K35" s="210">
        <f t="shared" si="1"/>
        <v>0.13749999999999998</v>
      </c>
      <c r="L35" s="210">
        <f t="shared" si="1"/>
        <v>0.15</v>
      </c>
      <c r="M35" s="210">
        <f t="shared" si="1"/>
        <v>0.11249999999999999</v>
      </c>
      <c r="N35" s="210">
        <f t="shared" si="1"/>
        <v>5.000000000000001E-2</v>
      </c>
      <c r="O35" s="210">
        <f t="shared" ref="O35" si="2">O64</f>
        <v>0</v>
      </c>
      <c r="P35" s="208">
        <f>SUM(D35:O35)</f>
        <v>1</v>
      </c>
      <c r="Q35" s="433"/>
      <c r="R35" s="434"/>
      <c r="S35" s="434"/>
      <c r="T35" s="434"/>
      <c r="U35" s="434"/>
      <c r="V35" s="435"/>
      <c r="W35" s="439"/>
      <c r="X35" s="440"/>
      <c r="Y35" s="440"/>
      <c r="Z35" s="441"/>
      <c r="AA35" s="433"/>
      <c r="AB35" s="434"/>
      <c r="AC35" s="434"/>
      <c r="AD35" s="443"/>
      <c r="AE35" s="219"/>
      <c r="AG35" s="218"/>
      <c r="AH35" s="218"/>
      <c r="AI35" s="218"/>
      <c r="AJ35" s="218"/>
      <c r="AK35" s="218"/>
      <c r="AL35" s="218"/>
      <c r="AM35" s="218"/>
      <c r="AN35" s="218"/>
      <c r="AO35" s="218"/>
    </row>
    <row r="36" spans="1:41" ht="26.25" customHeight="1" x14ac:dyDescent="0.25">
      <c r="A36" s="697" t="s">
        <v>65</v>
      </c>
      <c r="B36" s="417" t="s">
        <v>66</v>
      </c>
      <c r="C36" s="419" t="s">
        <v>67</v>
      </c>
      <c r="D36" s="419"/>
      <c r="E36" s="419"/>
      <c r="F36" s="419"/>
      <c r="G36" s="419"/>
      <c r="H36" s="419"/>
      <c r="I36" s="419"/>
      <c r="J36" s="419"/>
      <c r="K36" s="419"/>
      <c r="L36" s="419"/>
      <c r="M36" s="419"/>
      <c r="N36" s="419"/>
      <c r="O36" s="419"/>
      <c r="P36" s="419"/>
      <c r="Q36" s="420" t="s">
        <v>68</v>
      </c>
      <c r="R36" s="421"/>
      <c r="S36" s="421"/>
      <c r="T36" s="421"/>
      <c r="U36" s="421"/>
      <c r="V36" s="421"/>
      <c r="W36" s="421"/>
      <c r="X36" s="421"/>
      <c r="Y36" s="421"/>
      <c r="Z36" s="421"/>
      <c r="AA36" s="421"/>
      <c r="AB36" s="421"/>
      <c r="AC36" s="421"/>
      <c r="AD36" s="422"/>
      <c r="AG36" s="218"/>
      <c r="AH36" s="218"/>
      <c r="AI36" s="218"/>
      <c r="AJ36" s="218"/>
      <c r="AK36" s="218"/>
      <c r="AL36" s="218"/>
      <c r="AM36" s="218"/>
      <c r="AN36" s="218"/>
      <c r="AO36" s="218"/>
    </row>
    <row r="37" spans="1:41" ht="26.25" customHeight="1" x14ac:dyDescent="0.25">
      <c r="A37" s="698"/>
      <c r="B37" s="418"/>
      <c r="C37" s="88" t="s">
        <v>69</v>
      </c>
      <c r="D37" s="88" t="s">
        <v>70</v>
      </c>
      <c r="E37" s="88" t="s">
        <v>71</v>
      </c>
      <c r="F37" s="88" t="s">
        <v>72</v>
      </c>
      <c r="G37" s="88" t="s">
        <v>73</v>
      </c>
      <c r="H37" s="88" t="s">
        <v>74</v>
      </c>
      <c r="I37" s="88" t="s">
        <v>75</v>
      </c>
      <c r="J37" s="88" t="s">
        <v>76</v>
      </c>
      <c r="K37" s="88" t="s">
        <v>77</v>
      </c>
      <c r="L37" s="88" t="s">
        <v>78</v>
      </c>
      <c r="M37" s="88" t="s">
        <v>79</v>
      </c>
      <c r="N37" s="88" t="s">
        <v>80</v>
      </c>
      <c r="O37" s="88" t="s">
        <v>81</v>
      </c>
      <c r="P37" s="88" t="s">
        <v>82</v>
      </c>
      <c r="Q37" s="423" t="s">
        <v>83</v>
      </c>
      <c r="R37" s="424"/>
      <c r="S37" s="424"/>
      <c r="T37" s="424"/>
      <c r="U37" s="424"/>
      <c r="V37" s="424"/>
      <c r="W37" s="424"/>
      <c r="X37" s="424"/>
      <c r="Y37" s="424"/>
      <c r="Z37" s="424"/>
      <c r="AA37" s="424"/>
      <c r="AB37" s="424"/>
      <c r="AC37" s="424"/>
      <c r="AD37" s="425"/>
      <c r="AG37" s="220"/>
      <c r="AH37" s="220"/>
      <c r="AI37" s="220"/>
      <c r="AJ37" s="220"/>
      <c r="AK37" s="220"/>
      <c r="AL37" s="220"/>
      <c r="AM37" s="220"/>
      <c r="AN37" s="220"/>
      <c r="AO37" s="220"/>
    </row>
    <row r="38" spans="1:41" ht="85.5" customHeight="1" x14ac:dyDescent="0.25">
      <c r="A38" s="396" t="s">
        <v>144</v>
      </c>
      <c r="B38" s="594">
        <v>0.05</v>
      </c>
      <c r="C38" s="90" t="s">
        <v>63</v>
      </c>
      <c r="D38" s="95">
        <v>0</v>
      </c>
      <c r="E38" s="95">
        <v>0.05</v>
      </c>
      <c r="F38" s="95">
        <v>0.05</v>
      </c>
      <c r="G38" s="95">
        <v>0.05</v>
      </c>
      <c r="H38" s="95">
        <v>0.05</v>
      </c>
      <c r="I38" s="95">
        <v>0.1</v>
      </c>
      <c r="J38" s="95">
        <v>0.1</v>
      </c>
      <c r="K38" s="95">
        <v>0.15</v>
      </c>
      <c r="L38" s="95">
        <v>0.15</v>
      </c>
      <c r="M38" s="95">
        <v>0.15</v>
      </c>
      <c r="N38" s="95">
        <v>0.1</v>
      </c>
      <c r="O38" s="95">
        <v>0.05</v>
      </c>
      <c r="P38" s="96">
        <f t="shared" ref="P38:P43" si="3">SUM(D38:O38)</f>
        <v>1</v>
      </c>
      <c r="Q38" s="547" t="s">
        <v>603</v>
      </c>
      <c r="R38" s="548"/>
      <c r="S38" s="548"/>
      <c r="T38" s="548"/>
      <c r="U38" s="548"/>
      <c r="V38" s="548"/>
      <c r="W38" s="548"/>
      <c r="X38" s="548"/>
      <c r="Y38" s="548"/>
      <c r="Z38" s="548"/>
      <c r="AA38" s="548"/>
      <c r="AB38" s="548"/>
      <c r="AC38" s="548"/>
      <c r="AD38" s="549"/>
      <c r="AE38" s="97"/>
      <c r="AG38" s="221"/>
      <c r="AH38" s="221"/>
      <c r="AI38" s="221"/>
      <c r="AJ38" s="221"/>
      <c r="AK38" s="221"/>
      <c r="AL38" s="221"/>
      <c r="AM38" s="221"/>
      <c r="AN38" s="221"/>
      <c r="AO38" s="221"/>
    </row>
    <row r="39" spans="1:41" ht="85.5" customHeight="1" x14ac:dyDescent="0.25">
      <c r="A39" s="380"/>
      <c r="B39" s="563"/>
      <c r="C39" s="99" t="s">
        <v>64</v>
      </c>
      <c r="D39" s="100">
        <v>0.05</v>
      </c>
      <c r="E39" s="100">
        <v>0.05</v>
      </c>
      <c r="F39" s="100">
        <v>0.05</v>
      </c>
      <c r="G39" s="100">
        <v>0.05</v>
      </c>
      <c r="H39" s="100">
        <v>0.05</v>
      </c>
      <c r="I39" s="100">
        <v>0.1</v>
      </c>
      <c r="J39" s="100">
        <v>0.1</v>
      </c>
      <c r="K39" s="100">
        <v>0.15</v>
      </c>
      <c r="L39" s="100">
        <v>0.15</v>
      </c>
      <c r="M39" s="100">
        <v>0.15</v>
      </c>
      <c r="N39" s="100">
        <v>0.1</v>
      </c>
      <c r="O39" s="100">
        <v>0</v>
      </c>
      <c r="P39" s="101">
        <f t="shared" si="3"/>
        <v>1</v>
      </c>
      <c r="Q39" s="550"/>
      <c r="R39" s="551"/>
      <c r="S39" s="551"/>
      <c r="T39" s="551"/>
      <c r="U39" s="551"/>
      <c r="V39" s="551"/>
      <c r="W39" s="551"/>
      <c r="X39" s="551"/>
      <c r="Y39" s="551"/>
      <c r="Z39" s="551"/>
      <c r="AA39" s="551"/>
      <c r="AB39" s="551"/>
      <c r="AC39" s="551"/>
      <c r="AD39" s="552"/>
      <c r="AE39" s="97"/>
    </row>
    <row r="40" spans="1:41" ht="117.75" customHeight="1" x14ac:dyDescent="0.25">
      <c r="A40" s="380" t="s">
        <v>145</v>
      </c>
      <c r="B40" s="690">
        <v>2.5000000000000001E-2</v>
      </c>
      <c r="C40" s="102" t="s">
        <v>63</v>
      </c>
      <c r="D40" s="103">
        <v>0</v>
      </c>
      <c r="E40" s="103">
        <v>0.05</v>
      </c>
      <c r="F40" s="103">
        <v>0.1</v>
      </c>
      <c r="G40" s="103">
        <v>0.1</v>
      </c>
      <c r="H40" s="103">
        <v>0.1</v>
      </c>
      <c r="I40" s="103">
        <v>0.1</v>
      </c>
      <c r="J40" s="103">
        <v>0.2</v>
      </c>
      <c r="K40" s="103">
        <v>0.1</v>
      </c>
      <c r="L40" s="103">
        <v>0.1</v>
      </c>
      <c r="M40" s="103">
        <v>0.1</v>
      </c>
      <c r="N40" s="103">
        <v>0.05</v>
      </c>
      <c r="O40" s="103">
        <v>0</v>
      </c>
      <c r="P40" s="101">
        <f t="shared" si="3"/>
        <v>0.99999999999999989</v>
      </c>
      <c r="Q40" s="547" t="s">
        <v>602</v>
      </c>
      <c r="R40" s="548"/>
      <c r="S40" s="548"/>
      <c r="T40" s="548"/>
      <c r="U40" s="548"/>
      <c r="V40" s="548"/>
      <c r="W40" s="548"/>
      <c r="X40" s="548"/>
      <c r="Y40" s="548"/>
      <c r="Z40" s="548"/>
      <c r="AA40" s="548"/>
      <c r="AB40" s="548"/>
      <c r="AC40" s="548"/>
      <c r="AD40" s="549"/>
      <c r="AE40" s="97"/>
    </row>
    <row r="41" spans="1:41" ht="117.75" customHeight="1" x14ac:dyDescent="0.25">
      <c r="A41" s="380"/>
      <c r="B41" s="691"/>
      <c r="C41" s="99" t="s">
        <v>64</v>
      </c>
      <c r="D41" s="100">
        <v>0.05</v>
      </c>
      <c r="E41" s="100">
        <v>0.05</v>
      </c>
      <c r="F41" s="100">
        <v>0.1</v>
      </c>
      <c r="G41" s="100">
        <v>0.1</v>
      </c>
      <c r="H41" s="100">
        <v>0.1</v>
      </c>
      <c r="I41" s="100">
        <v>0.1</v>
      </c>
      <c r="J41" s="100">
        <v>0.2</v>
      </c>
      <c r="K41" s="100">
        <v>0.1</v>
      </c>
      <c r="L41" s="104">
        <v>0.1</v>
      </c>
      <c r="M41" s="104">
        <v>0.1</v>
      </c>
      <c r="N41" s="104">
        <f>5%-5%</f>
        <v>0</v>
      </c>
      <c r="O41" s="104">
        <v>0</v>
      </c>
      <c r="P41" s="101">
        <f t="shared" si="3"/>
        <v>0.99999999999999989</v>
      </c>
      <c r="Q41" s="550"/>
      <c r="R41" s="551"/>
      <c r="S41" s="551"/>
      <c r="T41" s="551"/>
      <c r="U41" s="551"/>
      <c r="V41" s="551"/>
      <c r="W41" s="551"/>
      <c r="X41" s="551"/>
      <c r="Y41" s="551"/>
      <c r="Z41" s="551"/>
      <c r="AA41" s="551"/>
      <c r="AB41" s="551"/>
      <c r="AC41" s="551"/>
      <c r="AD41" s="552"/>
      <c r="AE41" s="97"/>
    </row>
    <row r="42" spans="1:41" ht="87.75" customHeight="1" x14ac:dyDescent="0.25">
      <c r="A42" s="555" t="s">
        <v>146</v>
      </c>
      <c r="B42" s="690">
        <v>2.5000000000000001E-2</v>
      </c>
      <c r="C42" s="102" t="s">
        <v>63</v>
      </c>
      <c r="D42" s="103">
        <v>0</v>
      </c>
      <c r="E42" s="103">
        <v>0.05</v>
      </c>
      <c r="F42" s="103">
        <v>0.05</v>
      </c>
      <c r="G42" s="103">
        <v>0.1</v>
      </c>
      <c r="H42" s="103">
        <v>0.1</v>
      </c>
      <c r="I42" s="103">
        <v>0.15</v>
      </c>
      <c r="J42" s="103">
        <v>0.15</v>
      </c>
      <c r="K42" s="103">
        <v>0.15</v>
      </c>
      <c r="L42" s="103">
        <v>0.15</v>
      </c>
      <c r="M42" s="103">
        <v>0.05</v>
      </c>
      <c r="N42" s="103">
        <v>0.05</v>
      </c>
      <c r="O42" s="103">
        <v>0</v>
      </c>
      <c r="P42" s="101">
        <f t="shared" si="3"/>
        <v>1.0000000000000002</v>
      </c>
      <c r="Q42" s="570" t="s">
        <v>604</v>
      </c>
      <c r="R42" s="548"/>
      <c r="S42" s="548"/>
      <c r="T42" s="548"/>
      <c r="U42" s="548"/>
      <c r="V42" s="548"/>
      <c r="W42" s="548"/>
      <c r="X42" s="548"/>
      <c r="Y42" s="548"/>
      <c r="Z42" s="548"/>
      <c r="AA42" s="548"/>
      <c r="AB42" s="548"/>
      <c r="AC42" s="548"/>
      <c r="AD42" s="549"/>
      <c r="AE42" s="97"/>
    </row>
    <row r="43" spans="1:41" ht="87.75" customHeight="1" thickBot="1" x14ac:dyDescent="0.3">
      <c r="A43" s="692"/>
      <c r="B43" s="693"/>
      <c r="C43" s="91" t="s">
        <v>64</v>
      </c>
      <c r="D43" s="105">
        <v>0</v>
      </c>
      <c r="E43" s="105">
        <v>0.05</v>
      </c>
      <c r="F43" s="105">
        <v>0.05</v>
      </c>
      <c r="G43" s="105">
        <v>0.1</v>
      </c>
      <c r="H43" s="105">
        <v>0.1</v>
      </c>
      <c r="I43" s="105">
        <v>0.15</v>
      </c>
      <c r="J43" s="105">
        <v>0.15</v>
      </c>
      <c r="K43" s="105">
        <v>0.15</v>
      </c>
      <c r="L43" s="106">
        <v>0.2</v>
      </c>
      <c r="M43" s="106">
        <v>0.05</v>
      </c>
      <c r="N43" s="106">
        <v>0</v>
      </c>
      <c r="O43" s="106">
        <v>0</v>
      </c>
      <c r="P43" s="107">
        <f t="shared" si="3"/>
        <v>1.0000000000000002</v>
      </c>
      <c r="Q43" s="694"/>
      <c r="R43" s="695"/>
      <c r="S43" s="695"/>
      <c r="T43" s="695"/>
      <c r="U43" s="695"/>
      <c r="V43" s="695"/>
      <c r="W43" s="695"/>
      <c r="X43" s="695"/>
      <c r="Y43" s="695"/>
      <c r="Z43" s="695"/>
      <c r="AA43" s="695"/>
      <c r="AB43" s="695"/>
      <c r="AC43" s="695"/>
      <c r="AD43" s="696"/>
      <c r="AE43" s="97"/>
    </row>
    <row r="55" spans="1:51" s="252" customFormat="1" ht="21.75" customHeight="1" x14ac:dyDescent="0.25">
      <c r="A55" s="382" t="s">
        <v>92</v>
      </c>
      <c r="B55" s="382" t="s">
        <v>66</v>
      </c>
      <c r="C55" s="370" t="s">
        <v>67</v>
      </c>
      <c r="D55" s="686"/>
      <c r="E55" s="686"/>
      <c r="F55" s="686"/>
      <c r="G55" s="686"/>
      <c r="H55" s="686"/>
      <c r="I55" s="686"/>
      <c r="J55" s="686"/>
      <c r="K55" s="686"/>
      <c r="L55" s="686"/>
      <c r="M55" s="686"/>
      <c r="N55" s="686"/>
      <c r="O55" s="686"/>
      <c r="P55" s="687"/>
      <c r="Q55" s="205"/>
      <c r="R55" s="205"/>
      <c r="S55" s="205"/>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51"/>
      <c r="AR55" s="251"/>
      <c r="AS55" s="251"/>
      <c r="AT55" s="251"/>
      <c r="AU55" s="251"/>
      <c r="AV55" s="251"/>
      <c r="AW55" s="251"/>
      <c r="AX55" s="251"/>
      <c r="AY55" s="251"/>
    </row>
    <row r="56" spans="1:51" s="252" customFormat="1" ht="21.75" customHeight="1" x14ac:dyDescent="0.25">
      <c r="A56" s="685"/>
      <c r="B56" s="685"/>
      <c r="C56" s="190" t="s">
        <v>69</v>
      </c>
      <c r="D56" s="190" t="s">
        <v>70</v>
      </c>
      <c r="E56" s="190" t="s">
        <v>71</v>
      </c>
      <c r="F56" s="190" t="s">
        <v>72</v>
      </c>
      <c r="G56" s="190" t="s">
        <v>73</v>
      </c>
      <c r="H56" s="190" t="s">
        <v>74</v>
      </c>
      <c r="I56" s="190" t="s">
        <v>75</v>
      </c>
      <c r="J56" s="190" t="s">
        <v>76</v>
      </c>
      <c r="K56" s="190" t="s">
        <v>77</v>
      </c>
      <c r="L56" s="190" t="s">
        <v>78</v>
      </c>
      <c r="M56" s="190" t="s">
        <v>79</v>
      </c>
      <c r="N56" s="190" t="s">
        <v>80</v>
      </c>
      <c r="O56" s="190" t="s">
        <v>81</v>
      </c>
      <c r="P56" s="190" t="s">
        <v>82</v>
      </c>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51"/>
      <c r="AR56" s="251"/>
      <c r="AS56" s="251"/>
      <c r="AT56" s="251"/>
      <c r="AU56" s="251"/>
      <c r="AV56" s="251"/>
      <c r="AW56" s="251"/>
      <c r="AX56" s="251"/>
      <c r="AY56" s="251"/>
    </row>
    <row r="57" spans="1:51" s="252" customFormat="1" ht="12.75" customHeight="1" x14ac:dyDescent="0.25">
      <c r="A57" s="373" t="str">
        <f>A38</f>
        <v>36. Planear, articular y desarrollar  las distintas conmemoraciones de mujeres en sus diferencias y diversidad, que permitan visibilizar sus luchas y biografías desde el enfoque diferencial.</v>
      </c>
      <c r="B57" s="375">
        <f>B38</f>
        <v>0.05</v>
      </c>
      <c r="C57" s="191" t="s">
        <v>63</v>
      </c>
      <c r="D57" s="192">
        <f>D38*$B$38/$P$38</f>
        <v>0</v>
      </c>
      <c r="E57" s="192">
        <f t="shared" ref="E57:O58" si="4">E38*$B$38/$P$38</f>
        <v>2.5000000000000005E-3</v>
      </c>
      <c r="F57" s="192">
        <f t="shared" si="4"/>
        <v>2.5000000000000005E-3</v>
      </c>
      <c r="G57" s="192">
        <f t="shared" si="4"/>
        <v>2.5000000000000005E-3</v>
      </c>
      <c r="H57" s="192">
        <f t="shared" si="4"/>
        <v>2.5000000000000005E-3</v>
      </c>
      <c r="I57" s="192">
        <f t="shared" si="4"/>
        <v>5.000000000000001E-3</v>
      </c>
      <c r="J57" s="192">
        <f t="shared" si="4"/>
        <v>5.000000000000001E-3</v>
      </c>
      <c r="K57" s="192">
        <f t="shared" si="4"/>
        <v>7.4999999999999997E-3</v>
      </c>
      <c r="L57" s="192">
        <f t="shared" si="4"/>
        <v>7.4999999999999997E-3</v>
      </c>
      <c r="M57" s="192">
        <f t="shared" si="4"/>
        <v>7.4999999999999997E-3</v>
      </c>
      <c r="N57" s="192">
        <f t="shared" si="4"/>
        <v>5.000000000000001E-3</v>
      </c>
      <c r="O57" s="192">
        <f t="shared" si="4"/>
        <v>2.5000000000000005E-3</v>
      </c>
      <c r="P57" s="193">
        <f t="shared" ref="P57:P60" si="5">SUM(D57:O57)</f>
        <v>0.05</v>
      </c>
      <c r="Q57" s="50">
        <v>0.05</v>
      </c>
      <c r="R57" s="194">
        <f>+P57-Q57</f>
        <v>0</v>
      </c>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251"/>
      <c r="AR57" s="251"/>
      <c r="AS57" s="251"/>
      <c r="AT57" s="251"/>
      <c r="AU57" s="251"/>
      <c r="AV57" s="251"/>
      <c r="AW57" s="251"/>
      <c r="AX57" s="251"/>
      <c r="AY57" s="251"/>
    </row>
    <row r="58" spans="1:51" s="252" customFormat="1" ht="12.75" customHeight="1" x14ac:dyDescent="0.25">
      <c r="A58" s="688"/>
      <c r="B58" s="689"/>
      <c r="C58" s="196" t="s">
        <v>64</v>
      </c>
      <c r="D58" s="197">
        <f>D39*$B$38/$P$38</f>
        <v>2.5000000000000005E-3</v>
      </c>
      <c r="E58" s="197">
        <f t="shared" si="4"/>
        <v>2.5000000000000005E-3</v>
      </c>
      <c r="F58" s="197">
        <f t="shared" si="4"/>
        <v>2.5000000000000005E-3</v>
      </c>
      <c r="G58" s="197">
        <f t="shared" si="4"/>
        <v>2.5000000000000005E-3</v>
      </c>
      <c r="H58" s="197">
        <f t="shared" si="4"/>
        <v>2.5000000000000005E-3</v>
      </c>
      <c r="I58" s="197">
        <f t="shared" si="4"/>
        <v>5.000000000000001E-3</v>
      </c>
      <c r="J58" s="197">
        <f t="shared" si="4"/>
        <v>5.000000000000001E-3</v>
      </c>
      <c r="K58" s="197">
        <f t="shared" si="4"/>
        <v>7.4999999999999997E-3</v>
      </c>
      <c r="L58" s="197">
        <f t="shared" si="4"/>
        <v>7.4999999999999997E-3</v>
      </c>
      <c r="M58" s="197">
        <f t="shared" si="4"/>
        <v>7.4999999999999997E-3</v>
      </c>
      <c r="N58" s="197">
        <f t="shared" si="4"/>
        <v>5.000000000000001E-3</v>
      </c>
      <c r="O58" s="197">
        <f t="shared" si="4"/>
        <v>0</v>
      </c>
      <c r="P58" s="198">
        <f t="shared" si="5"/>
        <v>0.05</v>
      </c>
      <c r="Q58" s="199">
        <f>+P58</f>
        <v>0.05</v>
      </c>
      <c r="R58" s="194">
        <f t="shared" ref="R58:R62" si="6">+P58-Q58</f>
        <v>0</v>
      </c>
      <c r="S58" s="195"/>
      <c r="T58" s="195"/>
      <c r="U58" s="195"/>
      <c r="V58" s="195"/>
      <c r="W58" s="195"/>
      <c r="X58" s="195"/>
      <c r="Y58" s="195"/>
      <c r="Z58" s="195"/>
      <c r="AA58" s="195"/>
      <c r="AB58" s="195"/>
      <c r="AC58" s="195"/>
      <c r="AD58" s="195"/>
      <c r="AE58" s="195"/>
      <c r="AF58" s="195"/>
      <c r="AG58" s="195"/>
      <c r="AH58" s="195"/>
      <c r="AI58" s="195"/>
      <c r="AJ58" s="195"/>
      <c r="AK58" s="195"/>
      <c r="AL58" s="195"/>
      <c r="AM58" s="195"/>
      <c r="AN58" s="195"/>
      <c r="AO58" s="195"/>
      <c r="AP58" s="195"/>
      <c r="AQ58" s="251"/>
      <c r="AR58" s="251"/>
      <c r="AS58" s="251"/>
      <c r="AT58" s="251"/>
      <c r="AU58" s="251"/>
      <c r="AV58" s="251"/>
      <c r="AW58" s="251"/>
      <c r="AX58" s="251"/>
      <c r="AY58" s="251"/>
    </row>
    <row r="59" spans="1:51" s="252" customFormat="1" ht="12.75" customHeight="1" x14ac:dyDescent="0.25">
      <c r="A59" s="373" t="str">
        <f>A40</f>
        <v xml:space="preserve">37. Diseñar, articular e implementar jornadas de información  con las Oficinas de Atención a la Ciudadanía, con el objetivo de transversalizar el enfoque de género y diferencial con los sectores de la Administración Distrital, generando un cambio comunicacional acerca del lenguaje incluyente y no  sexista, que promueven los estereotipos, inmaginarios yrepresentaciones y fomentas los sistemas de opresión y discriminación contra las mujeres en sus diferencias y diversidad. </v>
      </c>
      <c r="B59" s="378">
        <f>B40</f>
        <v>2.5000000000000001E-2</v>
      </c>
      <c r="C59" s="191" t="s">
        <v>63</v>
      </c>
      <c r="D59" s="192">
        <f>D40*$B$40/$P$40</f>
        <v>0</v>
      </c>
      <c r="E59" s="192">
        <f t="shared" ref="E59:O60" si="7">E40*$B$40/$P$40</f>
        <v>1.2500000000000005E-3</v>
      </c>
      <c r="F59" s="192">
        <f t="shared" si="7"/>
        <v>2.5000000000000009E-3</v>
      </c>
      <c r="G59" s="192">
        <f t="shared" si="7"/>
        <v>2.5000000000000009E-3</v>
      </c>
      <c r="H59" s="192">
        <f t="shared" si="7"/>
        <v>2.5000000000000009E-3</v>
      </c>
      <c r="I59" s="192">
        <f t="shared" si="7"/>
        <v>2.5000000000000009E-3</v>
      </c>
      <c r="J59" s="192">
        <f t="shared" si="7"/>
        <v>5.0000000000000018E-3</v>
      </c>
      <c r="K59" s="192">
        <f t="shared" si="7"/>
        <v>2.5000000000000009E-3</v>
      </c>
      <c r="L59" s="192">
        <f t="shared" si="7"/>
        <v>2.5000000000000009E-3</v>
      </c>
      <c r="M59" s="192">
        <f t="shared" si="7"/>
        <v>2.5000000000000009E-3</v>
      </c>
      <c r="N59" s="192">
        <f t="shared" si="7"/>
        <v>1.2500000000000005E-3</v>
      </c>
      <c r="O59" s="192">
        <f t="shared" si="7"/>
        <v>0</v>
      </c>
      <c r="P59" s="193">
        <f t="shared" si="5"/>
        <v>2.5000000000000012E-2</v>
      </c>
      <c r="Q59" s="50">
        <v>2.5000000000000001E-2</v>
      </c>
      <c r="R59" s="194">
        <f t="shared" si="6"/>
        <v>0</v>
      </c>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251"/>
      <c r="AR59" s="251"/>
      <c r="AS59" s="251"/>
      <c r="AT59" s="251"/>
      <c r="AU59" s="251"/>
      <c r="AV59" s="251"/>
      <c r="AW59" s="251"/>
      <c r="AX59" s="251"/>
      <c r="AY59" s="251"/>
    </row>
    <row r="60" spans="1:51" s="252" customFormat="1" ht="12.75" customHeight="1" x14ac:dyDescent="0.25">
      <c r="A60" s="683"/>
      <c r="B60" s="684"/>
      <c r="C60" s="196" t="s">
        <v>64</v>
      </c>
      <c r="D60" s="197">
        <f>D41*$B$40/$P$40</f>
        <v>1.2500000000000005E-3</v>
      </c>
      <c r="E60" s="197">
        <f t="shared" si="7"/>
        <v>1.2500000000000005E-3</v>
      </c>
      <c r="F60" s="197">
        <f t="shared" si="7"/>
        <v>2.5000000000000009E-3</v>
      </c>
      <c r="G60" s="197">
        <f t="shared" si="7"/>
        <v>2.5000000000000009E-3</v>
      </c>
      <c r="H60" s="197">
        <f t="shared" si="7"/>
        <v>2.5000000000000009E-3</v>
      </c>
      <c r="I60" s="197">
        <f t="shared" si="7"/>
        <v>2.5000000000000009E-3</v>
      </c>
      <c r="J60" s="197">
        <f t="shared" si="7"/>
        <v>5.0000000000000018E-3</v>
      </c>
      <c r="K60" s="197">
        <f t="shared" si="7"/>
        <v>2.5000000000000009E-3</v>
      </c>
      <c r="L60" s="197">
        <f t="shared" si="7"/>
        <v>2.5000000000000009E-3</v>
      </c>
      <c r="M60" s="197">
        <f t="shared" si="7"/>
        <v>2.5000000000000009E-3</v>
      </c>
      <c r="N60" s="197">
        <f t="shared" si="7"/>
        <v>0</v>
      </c>
      <c r="O60" s="197">
        <f t="shared" si="7"/>
        <v>0</v>
      </c>
      <c r="P60" s="198">
        <f t="shared" si="5"/>
        <v>2.5000000000000012E-2</v>
      </c>
      <c r="Q60" s="199">
        <f>+P60</f>
        <v>2.5000000000000012E-2</v>
      </c>
      <c r="R60" s="194">
        <f t="shared" si="6"/>
        <v>0</v>
      </c>
      <c r="S60" s="195"/>
      <c r="T60" s="195"/>
      <c r="U60" s="195"/>
      <c r="V60" s="195"/>
      <c r="W60" s="195"/>
      <c r="X60" s="195"/>
      <c r="Y60" s="195"/>
      <c r="Z60" s="195"/>
      <c r="AA60" s="195"/>
      <c r="AB60" s="195"/>
      <c r="AC60" s="195"/>
      <c r="AD60" s="195"/>
      <c r="AE60" s="195"/>
      <c r="AF60" s="195"/>
      <c r="AG60" s="195"/>
      <c r="AH60" s="195"/>
      <c r="AI60" s="195"/>
      <c r="AJ60" s="195"/>
      <c r="AK60" s="195"/>
      <c r="AL60" s="195"/>
      <c r="AM60" s="195"/>
      <c r="AN60" s="195"/>
      <c r="AO60" s="195"/>
      <c r="AP60" s="195"/>
      <c r="AQ60" s="251"/>
      <c r="AR60" s="251"/>
      <c r="AS60" s="251"/>
      <c r="AT60" s="251"/>
      <c r="AU60" s="251"/>
      <c r="AV60" s="251"/>
      <c r="AW60" s="251"/>
      <c r="AX60" s="251"/>
      <c r="AY60" s="251"/>
    </row>
    <row r="61" spans="1:51" s="252" customFormat="1" ht="12.75" customHeight="1" x14ac:dyDescent="0.25">
      <c r="A61" s="373" t="str">
        <f>A42</f>
        <v xml:space="preserve">38. Apoyar y articular acciones para la transformación cultural, con diferentes sectores de la administración distrital, organizaciones sociales y grupos de mujeres en sus diferencias y diversidad . </v>
      </c>
      <c r="B61" s="378">
        <f>B42</f>
        <v>2.5000000000000001E-2</v>
      </c>
      <c r="C61" s="191" t="s">
        <v>63</v>
      </c>
      <c r="D61" s="192">
        <f>D42*$B$42/$P$42</f>
        <v>0</v>
      </c>
      <c r="E61" s="192">
        <f t="shared" ref="E61:O62" si="8">E42*$B$42/$P$42</f>
        <v>1.25E-3</v>
      </c>
      <c r="F61" s="192">
        <f t="shared" si="8"/>
        <v>1.25E-3</v>
      </c>
      <c r="G61" s="192">
        <f t="shared" si="8"/>
        <v>2.5000000000000001E-3</v>
      </c>
      <c r="H61" s="192">
        <f t="shared" si="8"/>
        <v>2.5000000000000001E-3</v>
      </c>
      <c r="I61" s="192">
        <f t="shared" si="8"/>
        <v>3.749999999999999E-3</v>
      </c>
      <c r="J61" s="192">
        <f t="shared" si="8"/>
        <v>3.749999999999999E-3</v>
      </c>
      <c r="K61" s="192">
        <f t="shared" si="8"/>
        <v>3.749999999999999E-3</v>
      </c>
      <c r="L61" s="192">
        <f t="shared" si="8"/>
        <v>3.749999999999999E-3</v>
      </c>
      <c r="M61" s="192">
        <f t="shared" si="8"/>
        <v>1.25E-3</v>
      </c>
      <c r="N61" s="192">
        <f t="shared" si="8"/>
        <v>1.25E-3</v>
      </c>
      <c r="O61" s="192">
        <f t="shared" si="8"/>
        <v>0</v>
      </c>
      <c r="P61" s="193">
        <f t="shared" ref="P61:P62" si="9">SUM(D61:O61)</f>
        <v>2.5000000000000001E-2</v>
      </c>
      <c r="Q61" s="50">
        <v>2.5000000000000001E-2</v>
      </c>
      <c r="R61" s="194">
        <f t="shared" si="6"/>
        <v>0</v>
      </c>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251"/>
      <c r="AR61" s="251"/>
      <c r="AS61" s="251"/>
      <c r="AT61" s="251"/>
      <c r="AU61" s="251"/>
      <c r="AV61" s="251"/>
      <c r="AW61" s="251"/>
      <c r="AX61" s="251"/>
      <c r="AY61" s="251"/>
    </row>
    <row r="62" spans="1:51" s="252" customFormat="1" ht="12.75" customHeight="1" x14ac:dyDescent="0.25">
      <c r="A62" s="683"/>
      <c r="B62" s="684"/>
      <c r="C62" s="196" t="s">
        <v>64</v>
      </c>
      <c r="D62" s="197">
        <f>D43*$B$42/$P$42</f>
        <v>0</v>
      </c>
      <c r="E62" s="197">
        <f t="shared" si="8"/>
        <v>1.25E-3</v>
      </c>
      <c r="F62" s="197">
        <f t="shared" si="8"/>
        <v>1.25E-3</v>
      </c>
      <c r="G62" s="197">
        <f t="shared" si="8"/>
        <v>2.5000000000000001E-3</v>
      </c>
      <c r="H62" s="197">
        <f t="shared" si="8"/>
        <v>2.5000000000000001E-3</v>
      </c>
      <c r="I62" s="197">
        <f t="shared" si="8"/>
        <v>3.749999999999999E-3</v>
      </c>
      <c r="J62" s="197">
        <f t="shared" si="8"/>
        <v>3.749999999999999E-3</v>
      </c>
      <c r="K62" s="197">
        <f t="shared" si="8"/>
        <v>3.749999999999999E-3</v>
      </c>
      <c r="L62" s="197">
        <f t="shared" si="8"/>
        <v>5.0000000000000001E-3</v>
      </c>
      <c r="M62" s="197">
        <f t="shared" si="8"/>
        <v>1.25E-3</v>
      </c>
      <c r="N62" s="197">
        <f t="shared" si="8"/>
        <v>0</v>
      </c>
      <c r="O62" s="197">
        <f t="shared" si="8"/>
        <v>0</v>
      </c>
      <c r="P62" s="198">
        <f t="shared" si="9"/>
        <v>2.5000000000000001E-2</v>
      </c>
      <c r="Q62" s="199">
        <f>+P62</f>
        <v>2.5000000000000001E-2</v>
      </c>
      <c r="R62" s="194">
        <f t="shared" si="6"/>
        <v>0</v>
      </c>
      <c r="S62" s="195"/>
      <c r="T62" s="195"/>
      <c r="U62" s="195"/>
      <c r="V62" s="195"/>
      <c r="W62" s="195"/>
      <c r="X62" s="195"/>
      <c r="Y62" s="195"/>
      <c r="Z62" s="195"/>
      <c r="AA62" s="195"/>
      <c r="AB62" s="195"/>
      <c r="AC62" s="195"/>
      <c r="AD62" s="195"/>
      <c r="AE62" s="195"/>
      <c r="AF62" s="195"/>
      <c r="AG62" s="195"/>
      <c r="AH62" s="195"/>
      <c r="AI62" s="195"/>
      <c r="AJ62" s="195"/>
      <c r="AK62" s="195"/>
      <c r="AL62" s="195"/>
      <c r="AM62" s="195"/>
      <c r="AN62" s="195"/>
      <c r="AO62" s="195"/>
      <c r="AP62" s="195"/>
      <c r="AQ62" s="251"/>
      <c r="AR62" s="251"/>
      <c r="AS62" s="251"/>
      <c r="AT62" s="251"/>
      <c r="AU62" s="251"/>
      <c r="AV62" s="251"/>
      <c r="AW62" s="251"/>
      <c r="AX62" s="251"/>
      <c r="AY62" s="251"/>
    </row>
    <row r="63" spans="1:51" s="252" customFormat="1" ht="15.75" customHeight="1" x14ac:dyDescent="0.25">
      <c r="A63" s="195"/>
      <c r="B63" s="195"/>
      <c r="C63" s="200"/>
      <c r="D63" s="201">
        <f>D58+D60+D62</f>
        <v>3.7500000000000007E-3</v>
      </c>
      <c r="E63" s="201">
        <f t="shared" ref="E63:N63" si="10">E58+E60+E62</f>
        <v>5.000000000000001E-3</v>
      </c>
      <c r="F63" s="201">
        <f t="shared" si="10"/>
        <v>6.2500000000000012E-3</v>
      </c>
      <c r="G63" s="201">
        <f t="shared" si="10"/>
        <v>7.5000000000000015E-3</v>
      </c>
      <c r="H63" s="201">
        <f t="shared" si="10"/>
        <v>7.5000000000000015E-3</v>
      </c>
      <c r="I63" s="201">
        <f t="shared" si="10"/>
        <v>1.125E-2</v>
      </c>
      <c r="J63" s="201">
        <f t="shared" si="10"/>
        <v>1.3750000000000002E-2</v>
      </c>
      <c r="K63" s="201">
        <f t="shared" si="10"/>
        <v>1.3749999999999998E-2</v>
      </c>
      <c r="L63" s="201">
        <f t="shared" si="10"/>
        <v>1.4999999999999999E-2</v>
      </c>
      <c r="M63" s="201">
        <f t="shared" si="10"/>
        <v>1.125E-2</v>
      </c>
      <c r="N63" s="201">
        <f t="shared" si="10"/>
        <v>5.000000000000001E-3</v>
      </c>
      <c r="O63" s="201">
        <f>O58+O60+O62</f>
        <v>0</v>
      </c>
      <c r="P63" s="201">
        <f>P58+P60+P62</f>
        <v>0.1</v>
      </c>
      <c r="Q63" s="195"/>
      <c r="R63" s="194">
        <f>+P63-Q63</f>
        <v>0.1</v>
      </c>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251"/>
      <c r="AR63" s="251"/>
      <c r="AS63" s="251"/>
      <c r="AT63" s="251"/>
      <c r="AU63" s="251"/>
      <c r="AV63" s="251"/>
      <c r="AW63" s="251"/>
      <c r="AX63" s="251"/>
      <c r="AY63" s="251"/>
    </row>
    <row r="64" spans="1:51" s="252" customFormat="1" ht="15.75" customHeight="1" x14ac:dyDescent="0.25">
      <c r="A64" s="251"/>
      <c r="B64" s="251"/>
      <c r="C64" s="209" t="s">
        <v>64</v>
      </c>
      <c r="D64" s="202">
        <f>D63*$W$17/$B$34</f>
        <v>3.7500000000000006E-2</v>
      </c>
      <c r="E64" s="202">
        <f t="shared" ref="E64:O64" si="11">E63*$W$17/$B$34</f>
        <v>5.000000000000001E-2</v>
      </c>
      <c r="F64" s="202">
        <f t="shared" si="11"/>
        <v>6.2500000000000014E-2</v>
      </c>
      <c r="G64" s="202">
        <f t="shared" si="11"/>
        <v>7.5000000000000011E-2</v>
      </c>
      <c r="H64" s="202">
        <f t="shared" si="11"/>
        <v>7.5000000000000011E-2</v>
      </c>
      <c r="I64" s="202">
        <f t="shared" si="11"/>
        <v>0.11249999999999999</v>
      </c>
      <c r="J64" s="202">
        <f t="shared" si="11"/>
        <v>0.13750000000000001</v>
      </c>
      <c r="K64" s="202">
        <f t="shared" si="11"/>
        <v>0.13749999999999998</v>
      </c>
      <c r="L64" s="202">
        <f t="shared" si="11"/>
        <v>0.15</v>
      </c>
      <c r="M64" s="202">
        <f t="shared" si="11"/>
        <v>0.11249999999999999</v>
      </c>
      <c r="N64" s="202">
        <f t="shared" si="11"/>
        <v>5.000000000000001E-2</v>
      </c>
      <c r="O64" s="202">
        <f t="shared" si="11"/>
        <v>0</v>
      </c>
      <c r="P64" s="203">
        <f>SUM(D64:O64)</f>
        <v>1</v>
      </c>
      <c r="Q64" s="204"/>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1"/>
      <c r="AS64" s="251"/>
      <c r="AT64" s="251"/>
      <c r="AU64" s="251"/>
      <c r="AV64" s="251"/>
      <c r="AW64" s="251"/>
      <c r="AX64" s="251"/>
      <c r="AY64" s="251"/>
    </row>
    <row r="65" spans="1:51" s="252" customFormat="1" ht="13.5" customHeight="1" x14ac:dyDescent="0.25">
      <c r="A65" s="204"/>
      <c r="B65" s="204"/>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5"/>
      <c r="AE65" s="205"/>
      <c r="AF65" s="205"/>
      <c r="AG65" s="205"/>
      <c r="AH65" s="205"/>
      <c r="AI65" s="205"/>
      <c r="AJ65" s="205"/>
      <c r="AK65" s="205"/>
      <c r="AL65" s="205"/>
      <c r="AM65" s="205"/>
      <c r="AN65" s="205"/>
      <c r="AO65" s="251"/>
      <c r="AP65" s="251"/>
      <c r="AQ65" s="251"/>
      <c r="AR65" s="251"/>
      <c r="AS65" s="251"/>
      <c r="AT65" s="251"/>
      <c r="AU65" s="251"/>
      <c r="AV65" s="251"/>
      <c r="AW65" s="251"/>
      <c r="AX65" s="251"/>
      <c r="AY65" s="251"/>
    </row>
    <row r="66" spans="1:51" x14ac:dyDescent="0.25">
      <c r="D66" s="230">
        <f>D57+D59+D61</f>
        <v>0</v>
      </c>
      <c r="E66" s="230">
        <f t="shared" ref="E66:O66" si="12">E57+E59+E61</f>
        <v>5.000000000000001E-3</v>
      </c>
      <c r="F66" s="230">
        <f t="shared" si="12"/>
        <v>6.2500000000000012E-3</v>
      </c>
      <c r="G66" s="230">
        <f t="shared" si="12"/>
        <v>7.5000000000000015E-3</v>
      </c>
      <c r="H66" s="230">
        <f t="shared" si="12"/>
        <v>7.5000000000000015E-3</v>
      </c>
      <c r="I66" s="230">
        <f t="shared" si="12"/>
        <v>1.125E-2</v>
      </c>
      <c r="J66" s="230">
        <f t="shared" si="12"/>
        <v>1.3750000000000002E-2</v>
      </c>
      <c r="K66" s="230">
        <f t="shared" si="12"/>
        <v>1.3749999999999998E-2</v>
      </c>
      <c r="L66" s="230">
        <f t="shared" si="12"/>
        <v>1.3749999999999998E-2</v>
      </c>
      <c r="M66" s="230">
        <f t="shared" si="12"/>
        <v>1.125E-2</v>
      </c>
      <c r="N66" s="230">
        <f t="shared" si="12"/>
        <v>7.5000000000000015E-3</v>
      </c>
      <c r="O66" s="230">
        <f t="shared" si="12"/>
        <v>2.5000000000000005E-3</v>
      </c>
      <c r="P66" s="230">
        <f>SUM(D66:O66)</f>
        <v>0.1</v>
      </c>
    </row>
    <row r="67" spans="1:51" x14ac:dyDescent="0.25">
      <c r="C67" s="209" t="s">
        <v>63</v>
      </c>
      <c r="D67" s="231">
        <f>D66*$W$17/$B$34</f>
        <v>0</v>
      </c>
      <c r="E67" s="231">
        <f t="shared" ref="E67:O67" si="13">E66*$W$17/$B$34</f>
        <v>5.000000000000001E-2</v>
      </c>
      <c r="F67" s="231">
        <f t="shared" si="13"/>
        <v>6.2500000000000014E-2</v>
      </c>
      <c r="G67" s="231">
        <f t="shared" si="13"/>
        <v>7.5000000000000011E-2</v>
      </c>
      <c r="H67" s="231">
        <f t="shared" si="13"/>
        <v>7.5000000000000011E-2</v>
      </c>
      <c r="I67" s="231">
        <f t="shared" si="13"/>
        <v>0.11249999999999999</v>
      </c>
      <c r="J67" s="231">
        <f t="shared" si="13"/>
        <v>0.13750000000000001</v>
      </c>
      <c r="K67" s="231">
        <f t="shared" si="13"/>
        <v>0.13749999999999998</v>
      </c>
      <c r="L67" s="231">
        <f t="shared" si="13"/>
        <v>0.13749999999999998</v>
      </c>
      <c r="M67" s="231">
        <f t="shared" si="13"/>
        <v>0.11249999999999999</v>
      </c>
      <c r="N67" s="231">
        <f t="shared" si="13"/>
        <v>7.5000000000000011E-2</v>
      </c>
      <c r="O67" s="231">
        <f t="shared" si="13"/>
        <v>2.5000000000000005E-2</v>
      </c>
      <c r="P67" s="232">
        <f>SUM(D67:O67)</f>
        <v>0.99999999999999989</v>
      </c>
    </row>
    <row r="68" spans="1:51" s="50" customFormat="1" x14ac:dyDescent="0.25"/>
    <row r="69" spans="1:51" s="50" customFormat="1" x14ac:dyDescent="0.25"/>
  </sheetData>
  <mergeCells count="82">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C16:AB16"/>
    <mergeCell ref="A17:B17"/>
    <mergeCell ref="C17:Q17"/>
    <mergeCell ref="R17:V17"/>
    <mergeCell ref="W17:X17"/>
    <mergeCell ref="Y17:AB17"/>
    <mergeCell ref="A28:A29"/>
    <mergeCell ref="B28:C29"/>
    <mergeCell ref="D28:O28"/>
    <mergeCell ref="P28:P29"/>
    <mergeCell ref="Q28:AD29"/>
    <mergeCell ref="AC17:AD17"/>
    <mergeCell ref="A19:AD19"/>
    <mergeCell ref="C20:P20"/>
    <mergeCell ref="Q20:AD20"/>
    <mergeCell ref="A27:AD27"/>
    <mergeCell ref="B30:C30"/>
    <mergeCell ref="Q30:AD30"/>
    <mergeCell ref="A31:AD31"/>
    <mergeCell ref="A32:A33"/>
    <mergeCell ref="B32:B33"/>
    <mergeCell ref="C32:C33"/>
    <mergeCell ref="D32:P32"/>
    <mergeCell ref="Q32:AD32"/>
    <mergeCell ref="Q33:V33"/>
    <mergeCell ref="W33:Z3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A40:A41"/>
    <mergeCell ref="B40:B41"/>
    <mergeCell ref="Q40:AD41"/>
    <mergeCell ref="A42:A43"/>
    <mergeCell ref="B42:B43"/>
    <mergeCell ref="Q42:AD43"/>
    <mergeCell ref="A61:A62"/>
    <mergeCell ref="B61:B62"/>
    <mergeCell ref="A55:A56"/>
    <mergeCell ref="B55:B56"/>
    <mergeCell ref="C55:P55"/>
    <mergeCell ref="A57:A58"/>
    <mergeCell ref="B57:B58"/>
    <mergeCell ref="A59:A60"/>
    <mergeCell ref="B59:B60"/>
  </mergeCells>
  <phoneticPr fontId="50" type="noConversion"/>
  <dataValidations count="3">
    <dataValidation type="textLength" operator="lessThanOrEqual" allowBlank="1" showInputMessage="1" showErrorMessage="1" errorTitle="Máximo 2.000 caracteres" error="Máximo 2.000 caracteres" sqref="Q38:AD43 Q34 W34 AA34" xr:uid="{00000000-0002-0000-0600-000000000000}">
      <formula1>2000</formula1>
    </dataValidation>
    <dataValidation type="textLength" operator="lessThanOrEqual" allowBlank="1" showInputMessage="1" showErrorMessage="1" errorTitle="Máximo 2.000 caracteres" error="Máximo 2.000 caracteres" promptTitle="2.000 caracteres" sqref="Q30:AD30" xr:uid="{00000000-0002-0000-0600-000001000000}">
      <formula1>2000</formula1>
    </dataValidation>
    <dataValidation type="list" allowBlank="1" showInputMessage="1" showErrorMessage="1" sqref="C7:C9" xr:uid="{00000000-0002-0000-0600-000002000000}">
      <formula1>$C$21:$N$21</formula1>
    </dataValidation>
  </dataValidations>
  <printOptions horizontalCentered="1"/>
  <pageMargins left="0.73685039370078742" right="0.19685039370078741" top="0.19685039370078741" bottom="0.19685039370078741" header="0" footer="0"/>
  <pageSetup paperSize="9" scale="26" orientation="landscape" r:id="rId1"/>
  <colBreaks count="1" manualBreakCount="1">
    <brk id="30" max="1048575"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7030A0"/>
  </sheetPr>
  <dimension ref="A1:AY23"/>
  <sheetViews>
    <sheetView tabSelected="1" view="pageBreakPreview" topLeftCell="E17" zoomScale="70" zoomScaleNormal="80" zoomScaleSheetLayoutView="70" workbookViewId="0">
      <selection activeCell="P21" sqref="A21:U23"/>
    </sheetView>
  </sheetViews>
  <sheetFormatPr baseColWidth="10" defaultColWidth="10.85546875" defaultRowHeight="15" x14ac:dyDescent="0.25"/>
  <cols>
    <col min="1" max="1" width="25.42578125" style="108" customWidth="1"/>
    <col min="2" max="2" width="14" style="108" customWidth="1"/>
    <col min="3" max="3" width="15.42578125" style="108" customWidth="1"/>
    <col min="4" max="6" width="14" style="108" customWidth="1"/>
    <col min="7" max="8" width="14.42578125" style="108" customWidth="1"/>
    <col min="9" max="9" width="38.42578125" style="108" customWidth="1"/>
    <col min="10" max="10" width="29.42578125" style="108" customWidth="1"/>
    <col min="11" max="13" width="15.42578125" style="108" customWidth="1"/>
    <col min="14" max="14" width="24.42578125" style="108" customWidth="1"/>
    <col min="15" max="19" width="8.85546875" style="234" customWidth="1"/>
    <col min="20" max="20" width="15.140625" style="108" customWidth="1"/>
    <col min="21" max="21" width="17" style="108" customWidth="1"/>
    <col min="22" max="22" width="5.42578125" style="234" bestFit="1" customWidth="1"/>
    <col min="23" max="23" width="5.28515625" style="234" bestFit="1" customWidth="1"/>
    <col min="24" max="26" width="5.7109375" style="234" bestFit="1" customWidth="1"/>
    <col min="27" max="27" width="5.28515625" style="234" bestFit="1" customWidth="1"/>
    <col min="28" max="28" width="5.140625" style="234" bestFit="1" customWidth="1"/>
    <col min="29" max="29" width="5.85546875" style="234" customWidth="1"/>
    <col min="30" max="30" width="4.85546875" style="234" bestFit="1" customWidth="1"/>
    <col min="31" max="32" width="5.7109375" style="234" bestFit="1" customWidth="1"/>
    <col min="33" max="33" width="5" style="234" bestFit="1" customWidth="1"/>
    <col min="34" max="34" width="5.42578125" style="234" bestFit="1" customWidth="1"/>
    <col min="35" max="35" width="5.28515625" style="234" bestFit="1" customWidth="1"/>
    <col min="36" max="36" width="6.28515625" style="234" bestFit="1" customWidth="1"/>
    <col min="37" max="37" width="5.7109375" style="234" bestFit="1" customWidth="1"/>
    <col min="38" max="38" width="6.140625" style="234" bestFit="1" customWidth="1"/>
    <col min="39" max="39" width="5.28515625" style="234" bestFit="1" customWidth="1"/>
    <col min="40" max="40" width="5.140625" style="234" bestFit="1" customWidth="1"/>
    <col min="41" max="41" width="5.85546875" style="234" customWidth="1"/>
    <col min="42" max="42" width="4.85546875" style="234" bestFit="1" customWidth="1"/>
    <col min="43" max="44" width="5.7109375" style="234" bestFit="1" customWidth="1"/>
    <col min="45" max="45" width="5" style="234" bestFit="1" customWidth="1"/>
    <col min="46" max="46" width="10.85546875" style="234"/>
    <col min="47" max="47" width="10.7109375" style="108" bestFit="1" customWidth="1"/>
    <col min="48" max="48" width="76.140625" style="108" customWidth="1"/>
    <col min="49" max="49" width="20" style="108" customWidth="1"/>
    <col min="50" max="50" width="18.42578125" style="108" customWidth="1"/>
    <col min="51" max="51" width="13.42578125" style="108" bestFit="1" customWidth="1"/>
    <col min="52" max="16384" width="10.85546875" style="108"/>
  </cols>
  <sheetData>
    <row r="1" spans="1:51" ht="15.95" customHeight="1" x14ac:dyDescent="0.25">
      <c r="A1" s="727" t="s">
        <v>0</v>
      </c>
      <c r="B1" s="728"/>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28"/>
      <c r="AE1" s="728"/>
      <c r="AF1" s="728"/>
      <c r="AG1" s="728"/>
      <c r="AH1" s="728"/>
      <c r="AI1" s="728"/>
      <c r="AJ1" s="728"/>
      <c r="AK1" s="728"/>
      <c r="AL1" s="728"/>
      <c r="AM1" s="728"/>
      <c r="AN1" s="728"/>
      <c r="AO1" s="728"/>
      <c r="AP1" s="728"/>
      <c r="AQ1" s="728"/>
      <c r="AR1" s="728"/>
      <c r="AS1" s="728"/>
      <c r="AT1" s="728"/>
      <c r="AU1" s="728"/>
      <c r="AV1" s="729"/>
      <c r="AW1" s="721" t="s">
        <v>1</v>
      </c>
      <c r="AX1" s="722"/>
    </row>
    <row r="2" spans="1:51" ht="15.95" customHeight="1" x14ac:dyDescent="0.25">
      <c r="A2" s="710" t="s">
        <v>2</v>
      </c>
      <c r="B2" s="711"/>
      <c r="C2" s="711"/>
      <c r="D2" s="711"/>
      <c r="E2" s="711"/>
      <c r="F2" s="711"/>
      <c r="G2" s="711"/>
      <c r="H2" s="711"/>
      <c r="I2" s="711"/>
      <c r="J2" s="711"/>
      <c r="K2" s="711"/>
      <c r="L2" s="711"/>
      <c r="M2" s="711"/>
      <c r="N2" s="711"/>
      <c r="O2" s="711"/>
      <c r="P2" s="711"/>
      <c r="Q2" s="711"/>
      <c r="R2" s="711"/>
      <c r="S2" s="711"/>
      <c r="T2" s="711"/>
      <c r="U2" s="711"/>
      <c r="V2" s="711"/>
      <c r="W2" s="711"/>
      <c r="X2" s="711"/>
      <c r="Y2" s="711"/>
      <c r="Z2" s="711"/>
      <c r="AA2" s="711"/>
      <c r="AB2" s="711"/>
      <c r="AC2" s="711"/>
      <c r="AD2" s="711"/>
      <c r="AE2" s="711"/>
      <c r="AF2" s="711"/>
      <c r="AG2" s="711"/>
      <c r="AH2" s="711"/>
      <c r="AI2" s="711"/>
      <c r="AJ2" s="711"/>
      <c r="AK2" s="711"/>
      <c r="AL2" s="711"/>
      <c r="AM2" s="711"/>
      <c r="AN2" s="711"/>
      <c r="AO2" s="711"/>
      <c r="AP2" s="711"/>
      <c r="AQ2" s="711"/>
      <c r="AR2" s="711"/>
      <c r="AS2" s="711"/>
      <c r="AT2" s="711"/>
      <c r="AU2" s="711"/>
      <c r="AV2" s="712"/>
      <c r="AW2" s="723" t="s">
        <v>3</v>
      </c>
      <c r="AX2" s="724"/>
    </row>
    <row r="3" spans="1:51" ht="15" customHeight="1" x14ac:dyDescent="0.25">
      <c r="A3" s="713" t="s">
        <v>147</v>
      </c>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c r="AL3" s="714"/>
      <c r="AM3" s="714"/>
      <c r="AN3" s="714"/>
      <c r="AO3" s="714"/>
      <c r="AP3" s="714"/>
      <c r="AQ3" s="714"/>
      <c r="AR3" s="714"/>
      <c r="AS3" s="714"/>
      <c r="AT3" s="714"/>
      <c r="AU3" s="714"/>
      <c r="AV3" s="715"/>
      <c r="AW3" s="723" t="s">
        <v>148</v>
      </c>
      <c r="AX3" s="724"/>
    </row>
    <row r="4" spans="1:51" ht="15.95" customHeight="1" x14ac:dyDescent="0.25">
      <c r="A4" s="716"/>
      <c r="B4" s="717"/>
      <c r="C4" s="717"/>
      <c r="D4" s="717"/>
      <c r="E4" s="717"/>
      <c r="F4" s="717"/>
      <c r="G4" s="717"/>
      <c r="H4" s="717"/>
      <c r="I4" s="717"/>
      <c r="J4" s="717"/>
      <c r="K4" s="717"/>
      <c r="L4" s="717"/>
      <c r="M4" s="717"/>
      <c r="N4" s="717"/>
      <c r="O4" s="717"/>
      <c r="P4" s="717"/>
      <c r="Q4" s="717"/>
      <c r="R4" s="717"/>
      <c r="S4" s="717"/>
      <c r="T4" s="717"/>
      <c r="U4" s="717"/>
      <c r="V4" s="717"/>
      <c r="W4" s="717"/>
      <c r="X4" s="717"/>
      <c r="Y4" s="717"/>
      <c r="Z4" s="717"/>
      <c r="AA4" s="717"/>
      <c r="AB4" s="717"/>
      <c r="AC4" s="717"/>
      <c r="AD4" s="717"/>
      <c r="AE4" s="717"/>
      <c r="AF4" s="717"/>
      <c r="AG4" s="717"/>
      <c r="AH4" s="717"/>
      <c r="AI4" s="717"/>
      <c r="AJ4" s="717"/>
      <c r="AK4" s="717"/>
      <c r="AL4" s="717"/>
      <c r="AM4" s="717"/>
      <c r="AN4" s="717"/>
      <c r="AO4" s="717"/>
      <c r="AP4" s="717"/>
      <c r="AQ4" s="717"/>
      <c r="AR4" s="717"/>
      <c r="AS4" s="717"/>
      <c r="AT4" s="717"/>
      <c r="AU4" s="717"/>
      <c r="AV4" s="718"/>
      <c r="AW4" s="725" t="s">
        <v>149</v>
      </c>
      <c r="AX4" s="726"/>
    </row>
    <row r="5" spans="1:51" ht="15" customHeight="1" thickBot="1" x14ac:dyDescent="0.3">
      <c r="A5" s="781" t="s">
        <v>150</v>
      </c>
      <c r="B5" s="782"/>
      <c r="C5" s="782"/>
      <c r="D5" s="782"/>
      <c r="E5" s="782"/>
      <c r="F5" s="782"/>
      <c r="G5" s="782"/>
      <c r="H5" s="782"/>
      <c r="I5" s="782"/>
      <c r="J5" s="782"/>
      <c r="K5" s="782"/>
      <c r="L5" s="782"/>
      <c r="M5" s="782"/>
      <c r="N5" s="782"/>
      <c r="O5" s="782"/>
      <c r="P5" s="782"/>
      <c r="Q5" s="782"/>
      <c r="R5" s="782"/>
      <c r="S5" s="782"/>
      <c r="T5" s="782"/>
      <c r="U5" s="782"/>
      <c r="V5" s="782"/>
      <c r="W5" s="782"/>
      <c r="X5" s="782"/>
      <c r="Y5" s="782"/>
      <c r="Z5" s="782"/>
      <c r="AA5" s="782"/>
      <c r="AB5" s="782"/>
      <c r="AC5" s="782"/>
      <c r="AD5" s="782"/>
      <c r="AE5" s="782"/>
      <c r="AF5" s="782"/>
      <c r="AG5" s="783"/>
      <c r="AH5" s="737" t="s">
        <v>13</v>
      </c>
      <c r="AI5" s="738"/>
      <c r="AJ5" s="738"/>
      <c r="AK5" s="738"/>
      <c r="AL5" s="738"/>
      <c r="AM5" s="738"/>
      <c r="AN5" s="738"/>
      <c r="AO5" s="738"/>
      <c r="AP5" s="738"/>
      <c r="AQ5" s="738"/>
      <c r="AR5" s="738"/>
      <c r="AS5" s="738"/>
      <c r="AT5" s="738"/>
      <c r="AU5" s="739"/>
      <c r="AV5" s="734" t="s">
        <v>151</v>
      </c>
      <c r="AW5" s="734" t="s">
        <v>152</v>
      </c>
      <c r="AX5" s="730" t="s">
        <v>153</v>
      </c>
    </row>
    <row r="6" spans="1:51" ht="15" customHeight="1" x14ac:dyDescent="0.25">
      <c r="A6" s="784" t="s">
        <v>9</v>
      </c>
      <c r="B6" s="785"/>
      <c r="C6" s="785"/>
      <c r="D6" s="786">
        <v>44931</v>
      </c>
      <c r="E6" s="787"/>
      <c r="F6" s="785" t="s">
        <v>10</v>
      </c>
      <c r="G6" s="785"/>
      <c r="H6" s="733" t="s">
        <v>11</v>
      </c>
      <c r="I6" s="733"/>
      <c r="J6" s="298"/>
      <c r="K6" s="737"/>
      <c r="L6" s="738"/>
      <c r="M6" s="738"/>
      <c r="N6" s="738"/>
      <c r="O6" s="738"/>
      <c r="P6" s="738"/>
      <c r="Q6" s="738"/>
      <c r="R6" s="738"/>
      <c r="S6" s="738"/>
      <c r="T6" s="738"/>
      <c r="U6" s="738"/>
      <c r="V6" s="313"/>
      <c r="W6" s="313"/>
      <c r="X6" s="313"/>
      <c r="Y6" s="313"/>
      <c r="Z6" s="313"/>
      <c r="AA6" s="313"/>
      <c r="AB6" s="313"/>
      <c r="AC6" s="313"/>
      <c r="AD6" s="313"/>
      <c r="AE6" s="313"/>
      <c r="AF6" s="313"/>
      <c r="AG6" s="314"/>
      <c r="AH6" s="740"/>
      <c r="AI6" s="741"/>
      <c r="AJ6" s="741"/>
      <c r="AK6" s="741"/>
      <c r="AL6" s="741"/>
      <c r="AM6" s="741"/>
      <c r="AN6" s="741"/>
      <c r="AO6" s="741"/>
      <c r="AP6" s="741"/>
      <c r="AQ6" s="741"/>
      <c r="AR6" s="741"/>
      <c r="AS6" s="741"/>
      <c r="AT6" s="741"/>
      <c r="AU6" s="742"/>
      <c r="AV6" s="735"/>
      <c r="AW6" s="735"/>
      <c r="AX6" s="731"/>
    </row>
    <row r="7" spans="1:51" ht="15" customHeight="1" x14ac:dyDescent="0.25">
      <c r="A7" s="784"/>
      <c r="B7" s="785"/>
      <c r="C7" s="785"/>
      <c r="D7" s="788"/>
      <c r="E7" s="789"/>
      <c r="F7" s="785"/>
      <c r="G7" s="785"/>
      <c r="H7" s="733" t="s">
        <v>12</v>
      </c>
      <c r="I7" s="733"/>
      <c r="J7" s="298"/>
      <c r="K7" s="740"/>
      <c r="L7" s="741"/>
      <c r="M7" s="741"/>
      <c r="N7" s="741"/>
      <c r="O7" s="741"/>
      <c r="P7" s="741"/>
      <c r="Q7" s="741"/>
      <c r="R7" s="741"/>
      <c r="S7" s="741"/>
      <c r="T7" s="741"/>
      <c r="U7" s="741"/>
      <c r="V7" s="327"/>
      <c r="W7" s="327"/>
      <c r="X7" s="327"/>
      <c r="Y7" s="327"/>
      <c r="Z7" s="327"/>
      <c r="AA7" s="327"/>
      <c r="AB7" s="327"/>
      <c r="AC7" s="327"/>
      <c r="AD7" s="327"/>
      <c r="AE7" s="327"/>
      <c r="AF7" s="327"/>
      <c r="AG7" s="315"/>
      <c r="AH7" s="740"/>
      <c r="AI7" s="741"/>
      <c r="AJ7" s="741"/>
      <c r="AK7" s="741"/>
      <c r="AL7" s="741"/>
      <c r="AM7" s="741"/>
      <c r="AN7" s="741"/>
      <c r="AO7" s="741"/>
      <c r="AP7" s="741"/>
      <c r="AQ7" s="741"/>
      <c r="AR7" s="741"/>
      <c r="AS7" s="741"/>
      <c r="AT7" s="741"/>
      <c r="AU7" s="742"/>
      <c r="AV7" s="735"/>
      <c r="AW7" s="735"/>
      <c r="AX7" s="731"/>
    </row>
    <row r="8" spans="1:51" ht="15" customHeight="1" thickBot="1" x14ac:dyDescent="0.3">
      <c r="A8" s="784"/>
      <c r="B8" s="785"/>
      <c r="C8" s="785"/>
      <c r="D8" s="790"/>
      <c r="E8" s="791"/>
      <c r="F8" s="785"/>
      <c r="G8" s="785"/>
      <c r="H8" s="733" t="s">
        <v>13</v>
      </c>
      <c r="I8" s="733"/>
      <c r="J8" s="298" t="s">
        <v>14</v>
      </c>
      <c r="K8" s="743"/>
      <c r="L8" s="744"/>
      <c r="M8" s="744"/>
      <c r="N8" s="744"/>
      <c r="O8" s="744"/>
      <c r="P8" s="744"/>
      <c r="Q8" s="744"/>
      <c r="R8" s="744"/>
      <c r="S8" s="744"/>
      <c r="T8" s="744"/>
      <c r="U8" s="744"/>
      <c r="V8" s="316"/>
      <c r="W8" s="316"/>
      <c r="X8" s="316"/>
      <c r="Y8" s="316"/>
      <c r="Z8" s="316"/>
      <c r="AA8" s="316"/>
      <c r="AB8" s="316"/>
      <c r="AC8" s="316"/>
      <c r="AD8" s="316"/>
      <c r="AE8" s="316"/>
      <c r="AF8" s="316"/>
      <c r="AG8" s="317"/>
      <c r="AH8" s="740"/>
      <c r="AI8" s="741"/>
      <c r="AJ8" s="741"/>
      <c r="AK8" s="741"/>
      <c r="AL8" s="741"/>
      <c r="AM8" s="741"/>
      <c r="AN8" s="741"/>
      <c r="AO8" s="741"/>
      <c r="AP8" s="741"/>
      <c r="AQ8" s="741"/>
      <c r="AR8" s="741"/>
      <c r="AS8" s="741"/>
      <c r="AT8" s="741"/>
      <c r="AU8" s="742"/>
      <c r="AV8" s="735"/>
      <c r="AW8" s="735"/>
      <c r="AX8" s="731"/>
    </row>
    <row r="9" spans="1:51" ht="15" customHeight="1" x14ac:dyDescent="0.25">
      <c r="A9" s="778" t="s">
        <v>154</v>
      </c>
      <c r="B9" s="779"/>
      <c r="C9" s="780"/>
      <c r="D9" s="746" t="s">
        <v>155</v>
      </c>
      <c r="E9" s="747"/>
      <c r="F9" s="747"/>
      <c r="G9" s="747"/>
      <c r="H9" s="747"/>
      <c r="I9" s="747"/>
      <c r="J9" s="747"/>
      <c r="K9" s="748"/>
      <c r="L9" s="748"/>
      <c r="M9" s="748"/>
      <c r="N9" s="748"/>
      <c r="O9" s="748"/>
      <c r="P9" s="748"/>
      <c r="Q9" s="748"/>
      <c r="R9" s="748"/>
      <c r="S9" s="748"/>
      <c r="T9" s="748"/>
      <c r="U9" s="748"/>
      <c r="V9" s="748"/>
      <c r="W9" s="748"/>
      <c r="X9" s="748"/>
      <c r="Y9" s="748"/>
      <c r="Z9" s="748"/>
      <c r="AA9" s="748"/>
      <c r="AB9" s="748"/>
      <c r="AC9" s="748"/>
      <c r="AD9" s="748"/>
      <c r="AE9" s="748"/>
      <c r="AF9" s="748"/>
      <c r="AG9" s="749"/>
      <c r="AH9" s="740"/>
      <c r="AI9" s="741"/>
      <c r="AJ9" s="741"/>
      <c r="AK9" s="741"/>
      <c r="AL9" s="741"/>
      <c r="AM9" s="741"/>
      <c r="AN9" s="741"/>
      <c r="AO9" s="741"/>
      <c r="AP9" s="741"/>
      <c r="AQ9" s="741"/>
      <c r="AR9" s="741"/>
      <c r="AS9" s="741"/>
      <c r="AT9" s="741"/>
      <c r="AU9" s="742"/>
      <c r="AV9" s="735"/>
      <c r="AW9" s="735"/>
      <c r="AX9" s="731"/>
    </row>
    <row r="10" spans="1:51" ht="15" customHeight="1" x14ac:dyDescent="0.25">
      <c r="A10" s="762" t="s">
        <v>156</v>
      </c>
      <c r="B10" s="763"/>
      <c r="C10" s="764"/>
      <c r="D10" s="765" t="s">
        <v>157</v>
      </c>
      <c r="E10" s="748"/>
      <c r="F10" s="748"/>
      <c r="G10" s="748"/>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9"/>
      <c r="AH10" s="743"/>
      <c r="AI10" s="744"/>
      <c r="AJ10" s="744"/>
      <c r="AK10" s="744"/>
      <c r="AL10" s="744"/>
      <c r="AM10" s="744"/>
      <c r="AN10" s="744"/>
      <c r="AO10" s="744"/>
      <c r="AP10" s="744"/>
      <c r="AQ10" s="744"/>
      <c r="AR10" s="744"/>
      <c r="AS10" s="744"/>
      <c r="AT10" s="744"/>
      <c r="AU10" s="745"/>
      <c r="AV10" s="735"/>
      <c r="AW10" s="735"/>
      <c r="AX10" s="731"/>
    </row>
    <row r="11" spans="1:51" ht="25.5" customHeight="1" x14ac:dyDescent="0.25">
      <c r="A11" s="775" t="s">
        <v>158</v>
      </c>
      <c r="B11" s="776"/>
      <c r="C11" s="776"/>
      <c r="D11" s="776"/>
      <c r="E11" s="776"/>
      <c r="F11" s="720"/>
      <c r="G11" s="719" t="s">
        <v>159</v>
      </c>
      <c r="H11" s="720"/>
      <c r="I11" s="734" t="s">
        <v>160</v>
      </c>
      <c r="J11" s="734" t="s">
        <v>161</v>
      </c>
      <c r="K11" s="734" t="s">
        <v>162</v>
      </c>
      <c r="L11" s="734" t="s">
        <v>163</v>
      </c>
      <c r="M11" s="734" t="s">
        <v>164</v>
      </c>
      <c r="N11" s="734" t="s">
        <v>165</v>
      </c>
      <c r="O11" s="772" t="s">
        <v>166</v>
      </c>
      <c r="P11" s="773"/>
      <c r="Q11" s="773"/>
      <c r="R11" s="773"/>
      <c r="S11" s="774"/>
      <c r="T11" s="734" t="s">
        <v>167</v>
      </c>
      <c r="U11" s="734" t="s">
        <v>168</v>
      </c>
      <c r="V11" s="751" t="s">
        <v>169</v>
      </c>
      <c r="W11" s="752"/>
      <c r="X11" s="752"/>
      <c r="Y11" s="752"/>
      <c r="Z11" s="752"/>
      <c r="AA11" s="752"/>
      <c r="AB11" s="752"/>
      <c r="AC11" s="752"/>
      <c r="AD11" s="752"/>
      <c r="AE11" s="752"/>
      <c r="AF11" s="752"/>
      <c r="AG11" s="753"/>
      <c r="AH11" s="751" t="s">
        <v>170</v>
      </c>
      <c r="AI11" s="752"/>
      <c r="AJ11" s="752"/>
      <c r="AK11" s="752"/>
      <c r="AL11" s="752"/>
      <c r="AM11" s="752"/>
      <c r="AN11" s="752"/>
      <c r="AO11" s="752"/>
      <c r="AP11" s="752"/>
      <c r="AQ11" s="752"/>
      <c r="AR11" s="752"/>
      <c r="AS11" s="753"/>
      <c r="AT11" s="719" t="s">
        <v>41</v>
      </c>
      <c r="AU11" s="720"/>
      <c r="AV11" s="735"/>
      <c r="AW11" s="735"/>
      <c r="AX11" s="731"/>
    </row>
    <row r="12" spans="1:51" ht="25.5" customHeight="1" x14ac:dyDescent="0.25">
      <c r="A12" s="328" t="s">
        <v>171</v>
      </c>
      <c r="B12" s="318" t="s">
        <v>172</v>
      </c>
      <c r="C12" s="318" t="s">
        <v>173</v>
      </c>
      <c r="D12" s="318" t="s">
        <v>174</v>
      </c>
      <c r="E12" s="318" t="s">
        <v>175</v>
      </c>
      <c r="F12" s="318" t="s">
        <v>176</v>
      </c>
      <c r="G12" s="318" t="s">
        <v>177</v>
      </c>
      <c r="H12" s="318" t="s">
        <v>178</v>
      </c>
      <c r="I12" s="736"/>
      <c r="J12" s="736"/>
      <c r="K12" s="736"/>
      <c r="L12" s="736"/>
      <c r="M12" s="736"/>
      <c r="N12" s="736"/>
      <c r="O12" s="319">
        <v>2020</v>
      </c>
      <c r="P12" s="319">
        <v>2021</v>
      </c>
      <c r="Q12" s="319">
        <v>2022</v>
      </c>
      <c r="R12" s="319">
        <v>2023</v>
      </c>
      <c r="S12" s="319">
        <v>2024</v>
      </c>
      <c r="T12" s="736"/>
      <c r="U12" s="736"/>
      <c r="V12" s="320" t="s">
        <v>30</v>
      </c>
      <c r="W12" s="320" t="s">
        <v>31</v>
      </c>
      <c r="X12" s="320" t="s">
        <v>32</v>
      </c>
      <c r="Y12" s="320" t="s">
        <v>33</v>
      </c>
      <c r="Z12" s="320" t="s">
        <v>34</v>
      </c>
      <c r="AA12" s="320" t="s">
        <v>35</v>
      </c>
      <c r="AB12" s="320" t="s">
        <v>8</v>
      </c>
      <c r="AC12" s="320" t="s">
        <v>36</v>
      </c>
      <c r="AD12" s="320" t="s">
        <v>37</v>
      </c>
      <c r="AE12" s="320" t="s">
        <v>38</v>
      </c>
      <c r="AF12" s="320" t="s">
        <v>39</v>
      </c>
      <c r="AG12" s="320" t="s">
        <v>40</v>
      </c>
      <c r="AH12" s="320" t="s">
        <v>30</v>
      </c>
      <c r="AI12" s="320" t="s">
        <v>31</v>
      </c>
      <c r="AJ12" s="320" t="s">
        <v>32</v>
      </c>
      <c r="AK12" s="320" t="s">
        <v>33</v>
      </c>
      <c r="AL12" s="320" t="s">
        <v>34</v>
      </c>
      <c r="AM12" s="320" t="s">
        <v>35</v>
      </c>
      <c r="AN12" s="320" t="s">
        <v>8</v>
      </c>
      <c r="AO12" s="320" t="s">
        <v>36</v>
      </c>
      <c r="AP12" s="320" t="s">
        <v>37</v>
      </c>
      <c r="AQ12" s="320" t="s">
        <v>38</v>
      </c>
      <c r="AR12" s="320" t="s">
        <v>39</v>
      </c>
      <c r="AS12" s="320" t="s">
        <v>40</v>
      </c>
      <c r="AT12" s="321" t="s">
        <v>179</v>
      </c>
      <c r="AU12" s="318" t="s">
        <v>180</v>
      </c>
      <c r="AV12" s="736"/>
      <c r="AW12" s="736"/>
      <c r="AX12" s="732"/>
    </row>
    <row r="13" spans="1:51" ht="45" customHeight="1" x14ac:dyDescent="0.25">
      <c r="A13" s="329">
        <v>37</v>
      </c>
      <c r="B13" s="298" t="s">
        <v>46</v>
      </c>
      <c r="C13" s="298" t="s">
        <v>46</v>
      </c>
      <c r="D13" s="298" t="s">
        <v>46</v>
      </c>
      <c r="E13" s="298" t="s">
        <v>46</v>
      </c>
      <c r="F13" s="298" t="s">
        <v>46</v>
      </c>
      <c r="G13" s="298" t="s">
        <v>46</v>
      </c>
      <c r="H13" s="298" t="s">
        <v>46</v>
      </c>
      <c r="I13" s="299" t="s">
        <v>181</v>
      </c>
      <c r="J13" s="300" t="s">
        <v>182</v>
      </c>
      <c r="K13" s="301" t="s">
        <v>183</v>
      </c>
      <c r="L13" s="312">
        <v>15</v>
      </c>
      <c r="M13" s="301" t="s">
        <v>184</v>
      </c>
      <c r="N13" s="300" t="s">
        <v>185</v>
      </c>
      <c r="O13" s="302">
        <v>15</v>
      </c>
      <c r="P13" s="302">
        <v>15</v>
      </c>
      <c r="Q13" s="302">
        <v>15</v>
      </c>
      <c r="R13" s="302">
        <v>15</v>
      </c>
      <c r="S13" s="302">
        <v>15</v>
      </c>
      <c r="T13" s="303" t="s">
        <v>186</v>
      </c>
      <c r="U13" s="300" t="s">
        <v>187</v>
      </c>
      <c r="V13" s="304">
        <v>0</v>
      </c>
      <c r="W13" s="304">
        <v>1</v>
      </c>
      <c r="X13" s="304">
        <v>1</v>
      </c>
      <c r="Y13" s="304">
        <v>1</v>
      </c>
      <c r="Z13" s="304">
        <v>2</v>
      </c>
      <c r="AA13" s="304">
        <v>2</v>
      </c>
      <c r="AB13" s="304">
        <v>2</v>
      </c>
      <c r="AC13" s="304">
        <v>2</v>
      </c>
      <c r="AD13" s="304">
        <v>1</v>
      </c>
      <c r="AE13" s="304">
        <v>1</v>
      </c>
      <c r="AF13" s="304">
        <v>1</v>
      </c>
      <c r="AG13" s="304">
        <v>1</v>
      </c>
      <c r="AH13" s="304">
        <v>0</v>
      </c>
      <c r="AI13" s="304">
        <v>0</v>
      </c>
      <c r="AJ13" s="304">
        <v>5</v>
      </c>
      <c r="AK13" s="304">
        <v>1</v>
      </c>
      <c r="AL13" s="304">
        <v>1</v>
      </c>
      <c r="AM13" s="304">
        <v>1</v>
      </c>
      <c r="AN13" s="305">
        <v>1</v>
      </c>
      <c r="AO13" s="305">
        <v>4</v>
      </c>
      <c r="AP13" s="305">
        <v>1</v>
      </c>
      <c r="AQ13" s="305">
        <v>1</v>
      </c>
      <c r="AR13" s="305">
        <v>0</v>
      </c>
      <c r="AS13" s="305">
        <v>0</v>
      </c>
      <c r="AT13" s="305">
        <f>AH13+AI13+AJ13+AK13+AL13+AM13+AN13+AO13+AP13+AQ13</f>
        <v>15</v>
      </c>
      <c r="AU13" s="306">
        <f>AT13/Q13</f>
        <v>1</v>
      </c>
      <c r="AV13" s="356" t="s">
        <v>545</v>
      </c>
      <c r="AW13" s="348" t="s">
        <v>188</v>
      </c>
      <c r="AX13" s="350" t="s">
        <v>189</v>
      </c>
      <c r="AY13" s="289">
        <f>SUM(AH13:AT13)</f>
        <v>30</v>
      </c>
    </row>
    <row r="14" spans="1:51" ht="45" customHeight="1" x14ac:dyDescent="0.25">
      <c r="A14" s="330" t="s">
        <v>46</v>
      </c>
      <c r="B14" s="298" t="s">
        <v>46</v>
      </c>
      <c r="C14" s="298" t="s">
        <v>46</v>
      </c>
      <c r="D14" s="307">
        <v>39</v>
      </c>
      <c r="E14" s="298" t="s">
        <v>46</v>
      </c>
      <c r="F14" s="298" t="s">
        <v>46</v>
      </c>
      <c r="G14" s="298" t="s">
        <v>46</v>
      </c>
      <c r="H14" s="298" t="s">
        <v>46</v>
      </c>
      <c r="I14" s="299" t="s">
        <v>190</v>
      </c>
      <c r="J14" s="299" t="s">
        <v>191</v>
      </c>
      <c r="K14" s="308" t="s">
        <v>192</v>
      </c>
      <c r="L14" s="304">
        <f>SUM(O14:S14)</f>
        <v>12200</v>
      </c>
      <c r="M14" s="308" t="s">
        <v>193</v>
      </c>
      <c r="N14" s="300" t="s">
        <v>194</v>
      </c>
      <c r="O14" s="304">
        <v>900</v>
      </c>
      <c r="P14" s="304">
        <v>3200</v>
      </c>
      <c r="Q14" s="304">
        <f>2500+1400</f>
        <v>3900</v>
      </c>
      <c r="R14" s="304">
        <f>1800+1500</f>
        <v>3300</v>
      </c>
      <c r="S14" s="304">
        <v>900</v>
      </c>
      <c r="T14" s="298" t="s">
        <v>195</v>
      </c>
      <c r="U14" s="300" t="s">
        <v>196</v>
      </c>
      <c r="V14" s="304">
        <v>100</v>
      </c>
      <c r="W14" s="304">
        <v>230</v>
      </c>
      <c r="X14" s="304">
        <v>230</v>
      </c>
      <c r="Y14" s="304">
        <v>230</v>
      </c>
      <c r="Z14" s="304">
        <v>230</v>
      </c>
      <c r="AA14" s="304">
        <v>230</v>
      </c>
      <c r="AB14" s="304">
        <v>230</v>
      </c>
      <c r="AC14" s="304">
        <v>230</v>
      </c>
      <c r="AD14" s="304">
        <v>230</v>
      </c>
      <c r="AE14" s="304">
        <v>230</v>
      </c>
      <c r="AF14" s="304">
        <v>230</v>
      </c>
      <c r="AG14" s="304">
        <v>100</v>
      </c>
      <c r="AH14" s="304">
        <v>221</v>
      </c>
      <c r="AI14" s="304">
        <v>300</v>
      </c>
      <c r="AJ14" s="304">
        <v>378</v>
      </c>
      <c r="AK14" s="304">
        <v>272</v>
      </c>
      <c r="AL14" s="304">
        <v>430</v>
      </c>
      <c r="AM14" s="304">
        <v>281</v>
      </c>
      <c r="AN14" s="305">
        <v>348</v>
      </c>
      <c r="AO14" s="305">
        <v>425</v>
      </c>
      <c r="AP14" s="305">
        <v>361</v>
      </c>
      <c r="AQ14" s="305">
        <v>376</v>
      </c>
      <c r="AR14" s="305">
        <v>451</v>
      </c>
      <c r="AS14" s="304">
        <v>543</v>
      </c>
      <c r="AT14" s="305">
        <f t="shared" ref="AT14:AT19" si="0">SUM(AH14:AS14)</f>
        <v>4386</v>
      </c>
      <c r="AU14" s="306">
        <f>AT14/Q14</f>
        <v>1.1246153846153846</v>
      </c>
      <c r="AV14" s="361" t="s">
        <v>558</v>
      </c>
      <c r="AW14" s="349" t="s">
        <v>533</v>
      </c>
      <c r="AX14" s="362" t="s">
        <v>197</v>
      </c>
    </row>
    <row r="15" spans="1:51" ht="45" customHeight="1" x14ac:dyDescent="0.25">
      <c r="A15" s="330" t="s">
        <v>46</v>
      </c>
      <c r="B15" s="298" t="s">
        <v>46</v>
      </c>
      <c r="C15" s="298" t="s">
        <v>46</v>
      </c>
      <c r="D15" s="307">
        <v>40</v>
      </c>
      <c r="E15" s="298" t="s">
        <v>46</v>
      </c>
      <c r="F15" s="298" t="s">
        <v>46</v>
      </c>
      <c r="G15" s="298" t="s">
        <v>46</v>
      </c>
      <c r="H15" s="298" t="s">
        <v>46</v>
      </c>
      <c r="I15" s="299" t="s">
        <v>198</v>
      </c>
      <c r="J15" s="299" t="s">
        <v>199</v>
      </c>
      <c r="K15" s="308" t="s">
        <v>192</v>
      </c>
      <c r="L15" s="304">
        <f>SUM(O15:S15)</f>
        <v>8100</v>
      </c>
      <c r="M15" s="308" t="s">
        <v>193</v>
      </c>
      <c r="N15" s="300" t="s">
        <v>200</v>
      </c>
      <c r="O15" s="304">
        <v>650</v>
      </c>
      <c r="P15" s="304">
        <v>2400</v>
      </c>
      <c r="Q15" s="304">
        <f>1800+400</f>
        <v>2200</v>
      </c>
      <c r="R15" s="304">
        <f>1300+900</f>
        <v>2200</v>
      </c>
      <c r="S15" s="304">
        <v>650</v>
      </c>
      <c r="T15" s="298" t="s">
        <v>195</v>
      </c>
      <c r="U15" s="300" t="s">
        <v>201</v>
      </c>
      <c r="V15" s="304">
        <v>70</v>
      </c>
      <c r="W15" s="304">
        <v>165</v>
      </c>
      <c r="X15" s="304">
        <v>165</v>
      </c>
      <c r="Y15" s="304">
        <v>165</v>
      </c>
      <c r="Z15" s="304">
        <v>165</v>
      </c>
      <c r="AA15" s="304">
        <v>165</v>
      </c>
      <c r="AB15" s="304">
        <v>165</v>
      </c>
      <c r="AC15" s="304">
        <v>165</v>
      </c>
      <c r="AD15" s="304">
        <v>165</v>
      </c>
      <c r="AE15" s="304">
        <v>165</v>
      </c>
      <c r="AF15" s="304">
        <v>165</v>
      </c>
      <c r="AG15" s="304">
        <v>80</v>
      </c>
      <c r="AH15" s="304">
        <v>104</v>
      </c>
      <c r="AI15" s="304">
        <v>177</v>
      </c>
      <c r="AJ15" s="304">
        <v>190</v>
      </c>
      <c r="AK15" s="304">
        <v>130</v>
      </c>
      <c r="AL15" s="304">
        <v>201</v>
      </c>
      <c r="AM15" s="304">
        <v>214</v>
      </c>
      <c r="AN15" s="305">
        <v>202</v>
      </c>
      <c r="AO15" s="305">
        <v>258</v>
      </c>
      <c r="AP15" s="305">
        <v>254</v>
      </c>
      <c r="AQ15" s="305">
        <v>227</v>
      </c>
      <c r="AR15" s="305">
        <v>243</v>
      </c>
      <c r="AS15" s="304">
        <v>155</v>
      </c>
      <c r="AT15" s="305">
        <f t="shared" si="0"/>
        <v>2355</v>
      </c>
      <c r="AU15" s="306">
        <f t="shared" ref="AU15:AU19" si="1">SUM(AH15:AS15)/Q15</f>
        <v>1.0704545454545455</v>
      </c>
      <c r="AV15" s="349" t="s">
        <v>559</v>
      </c>
      <c r="AW15" s="349" t="s">
        <v>202</v>
      </c>
      <c r="AX15" s="362" t="s">
        <v>203</v>
      </c>
    </row>
    <row r="16" spans="1:51" ht="45" customHeight="1" x14ac:dyDescent="0.25">
      <c r="A16" s="330" t="s">
        <v>46</v>
      </c>
      <c r="B16" s="298" t="s">
        <v>46</v>
      </c>
      <c r="C16" s="298" t="s">
        <v>46</v>
      </c>
      <c r="D16" s="307">
        <v>41</v>
      </c>
      <c r="E16" s="298" t="s">
        <v>46</v>
      </c>
      <c r="F16" s="298" t="s">
        <v>46</v>
      </c>
      <c r="G16" s="298" t="s">
        <v>46</v>
      </c>
      <c r="H16" s="298" t="s">
        <v>46</v>
      </c>
      <c r="I16" s="299" t="s">
        <v>204</v>
      </c>
      <c r="J16" s="299" t="s">
        <v>205</v>
      </c>
      <c r="K16" s="308" t="s">
        <v>192</v>
      </c>
      <c r="L16" s="304">
        <f>SUM(O16:S16)</f>
        <v>19200</v>
      </c>
      <c r="M16" s="308" t="s">
        <v>193</v>
      </c>
      <c r="N16" s="300" t="s">
        <v>206</v>
      </c>
      <c r="O16" s="304">
        <v>1500</v>
      </c>
      <c r="P16" s="304">
        <v>5000</v>
      </c>
      <c r="Q16" s="304">
        <f>4000+2200</f>
        <v>6200</v>
      </c>
      <c r="R16" s="304">
        <f>3000+2000</f>
        <v>5000</v>
      </c>
      <c r="S16" s="304">
        <v>1500</v>
      </c>
      <c r="T16" s="298" t="s">
        <v>195</v>
      </c>
      <c r="U16" s="300" t="s">
        <v>207</v>
      </c>
      <c r="V16" s="304">
        <v>150</v>
      </c>
      <c r="W16" s="304">
        <v>370</v>
      </c>
      <c r="X16" s="304">
        <v>370</v>
      </c>
      <c r="Y16" s="304">
        <v>370</v>
      </c>
      <c r="Z16" s="304">
        <v>370</v>
      </c>
      <c r="AA16" s="304">
        <v>370</v>
      </c>
      <c r="AB16" s="304">
        <v>370</v>
      </c>
      <c r="AC16" s="304">
        <v>370</v>
      </c>
      <c r="AD16" s="304">
        <v>370</v>
      </c>
      <c r="AE16" s="304">
        <v>370</v>
      </c>
      <c r="AF16" s="304">
        <v>370</v>
      </c>
      <c r="AG16" s="304">
        <v>150</v>
      </c>
      <c r="AH16" s="304">
        <v>338</v>
      </c>
      <c r="AI16" s="304">
        <v>578</v>
      </c>
      <c r="AJ16" s="304">
        <v>562</v>
      </c>
      <c r="AK16" s="304">
        <v>445</v>
      </c>
      <c r="AL16" s="304">
        <v>530</v>
      </c>
      <c r="AM16" s="304">
        <v>500</v>
      </c>
      <c r="AN16" s="305">
        <v>618</v>
      </c>
      <c r="AO16" s="305">
        <v>608</v>
      </c>
      <c r="AP16" s="305">
        <v>552</v>
      </c>
      <c r="AQ16" s="305">
        <v>442</v>
      </c>
      <c r="AR16" s="305">
        <v>560</v>
      </c>
      <c r="AS16" s="304">
        <v>419</v>
      </c>
      <c r="AT16" s="305">
        <f t="shared" si="0"/>
        <v>6152</v>
      </c>
      <c r="AU16" s="306">
        <f t="shared" si="1"/>
        <v>0.99225806451612908</v>
      </c>
      <c r="AV16" s="361" t="s">
        <v>560</v>
      </c>
      <c r="AW16" s="363" t="s">
        <v>208</v>
      </c>
      <c r="AX16" s="364" t="s">
        <v>209</v>
      </c>
    </row>
    <row r="17" spans="1:50" ht="45" customHeight="1" x14ac:dyDescent="0.25">
      <c r="A17" s="329">
        <v>37</v>
      </c>
      <c r="B17" s="298" t="s">
        <v>46</v>
      </c>
      <c r="C17" s="298" t="s">
        <v>46</v>
      </c>
      <c r="D17" s="298" t="s">
        <v>46</v>
      </c>
      <c r="E17" s="298" t="s">
        <v>46</v>
      </c>
      <c r="F17" s="298" t="s">
        <v>46</v>
      </c>
      <c r="G17" s="794" t="s">
        <v>210</v>
      </c>
      <c r="H17" s="794" t="s">
        <v>211</v>
      </c>
      <c r="I17" s="792" t="s">
        <v>212</v>
      </c>
      <c r="J17" s="297" t="s">
        <v>213</v>
      </c>
      <c r="K17" s="308" t="s">
        <v>214</v>
      </c>
      <c r="L17" s="310">
        <v>48</v>
      </c>
      <c r="M17" s="311" t="s">
        <v>215</v>
      </c>
      <c r="N17" s="299" t="s">
        <v>216</v>
      </c>
      <c r="O17" s="312" t="s">
        <v>217</v>
      </c>
      <c r="P17" s="304">
        <v>48</v>
      </c>
      <c r="Q17" s="304">
        <v>48</v>
      </c>
      <c r="R17" s="304">
        <v>48</v>
      </c>
      <c r="S17" s="304">
        <v>48</v>
      </c>
      <c r="T17" s="298" t="s">
        <v>195</v>
      </c>
      <c r="U17" s="300" t="s">
        <v>218</v>
      </c>
      <c r="V17" s="304">
        <v>4</v>
      </c>
      <c r="W17" s="304">
        <v>4</v>
      </c>
      <c r="X17" s="304">
        <v>4</v>
      </c>
      <c r="Y17" s="304">
        <v>4</v>
      </c>
      <c r="Z17" s="304">
        <v>4</v>
      </c>
      <c r="AA17" s="304">
        <v>4</v>
      </c>
      <c r="AB17" s="304">
        <v>4</v>
      </c>
      <c r="AC17" s="304">
        <v>4</v>
      </c>
      <c r="AD17" s="304">
        <v>4</v>
      </c>
      <c r="AE17" s="304">
        <v>4</v>
      </c>
      <c r="AF17" s="304">
        <v>4</v>
      </c>
      <c r="AG17" s="304">
        <v>4</v>
      </c>
      <c r="AH17" s="304">
        <v>4</v>
      </c>
      <c r="AI17" s="304">
        <v>4</v>
      </c>
      <c r="AJ17" s="304">
        <v>4</v>
      </c>
      <c r="AK17" s="304">
        <v>4</v>
      </c>
      <c r="AL17" s="304">
        <v>4</v>
      </c>
      <c r="AM17" s="304">
        <v>4</v>
      </c>
      <c r="AN17" s="305">
        <v>4</v>
      </c>
      <c r="AO17" s="305">
        <v>4</v>
      </c>
      <c r="AP17" s="305">
        <v>4</v>
      </c>
      <c r="AQ17" s="305">
        <v>4</v>
      </c>
      <c r="AR17" s="305">
        <v>4</v>
      </c>
      <c r="AS17" s="305">
        <v>4</v>
      </c>
      <c r="AT17" s="305">
        <f t="shared" si="0"/>
        <v>48</v>
      </c>
      <c r="AU17" s="306">
        <f>SUM(AG17:AS17)/Q17</f>
        <v>1.0833333333333333</v>
      </c>
      <c r="AV17" s="297" t="s">
        <v>554</v>
      </c>
      <c r="AW17" s="349" t="s">
        <v>219</v>
      </c>
      <c r="AX17" s="350" t="s">
        <v>189</v>
      </c>
    </row>
    <row r="18" spans="1:50" ht="45" customHeight="1" x14ac:dyDescent="0.25">
      <c r="A18" s="329">
        <v>37</v>
      </c>
      <c r="B18" s="298" t="s">
        <v>46</v>
      </c>
      <c r="C18" s="298" t="s">
        <v>46</v>
      </c>
      <c r="D18" s="298" t="s">
        <v>46</v>
      </c>
      <c r="E18" s="298" t="s">
        <v>46</v>
      </c>
      <c r="F18" s="298" t="s">
        <v>46</v>
      </c>
      <c r="G18" s="795"/>
      <c r="H18" s="795"/>
      <c r="I18" s="793"/>
      <c r="J18" s="297" t="s">
        <v>220</v>
      </c>
      <c r="K18" s="308" t="s">
        <v>214</v>
      </c>
      <c r="L18" s="310">
        <v>40</v>
      </c>
      <c r="M18" s="311" t="s">
        <v>221</v>
      </c>
      <c r="N18" s="299" t="s">
        <v>222</v>
      </c>
      <c r="O18" s="312">
        <v>0</v>
      </c>
      <c r="P18" s="312">
        <v>40</v>
      </c>
      <c r="Q18" s="312">
        <v>40</v>
      </c>
      <c r="R18" s="312">
        <v>40</v>
      </c>
      <c r="S18" s="312">
        <v>40</v>
      </c>
      <c r="T18" s="298" t="s">
        <v>195</v>
      </c>
      <c r="U18" s="300" t="s">
        <v>223</v>
      </c>
      <c r="V18" s="304">
        <v>0</v>
      </c>
      <c r="W18" s="304">
        <v>0</v>
      </c>
      <c r="X18" s="304">
        <v>0</v>
      </c>
      <c r="Y18" s="304">
        <v>2</v>
      </c>
      <c r="Z18" s="304">
        <v>4</v>
      </c>
      <c r="AA18" s="304">
        <v>4</v>
      </c>
      <c r="AB18" s="304">
        <v>5</v>
      </c>
      <c r="AC18" s="304">
        <v>5</v>
      </c>
      <c r="AD18" s="304">
        <v>5</v>
      </c>
      <c r="AE18" s="304">
        <v>5</v>
      </c>
      <c r="AF18" s="304">
        <v>5</v>
      </c>
      <c r="AG18" s="304">
        <v>5</v>
      </c>
      <c r="AH18" s="304">
        <v>0</v>
      </c>
      <c r="AI18" s="304">
        <v>0</v>
      </c>
      <c r="AJ18" s="304">
        <v>0</v>
      </c>
      <c r="AK18" s="304">
        <v>2</v>
      </c>
      <c r="AL18" s="304">
        <v>4</v>
      </c>
      <c r="AM18" s="304">
        <v>4</v>
      </c>
      <c r="AN18" s="305">
        <v>5</v>
      </c>
      <c r="AO18" s="305">
        <v>5</v>
      </c>
      <c r="AP18" s="305">
        <v>5</v>
      </c>
      <c r="AQ18" s="305">
        <v>5</v>
      </c>
      <c r="AR18" s="305">
        <v>5</v>
      </c>
      <c r="AS18" s="305">
        <v>5</v>
      </c>
      <c r="AT18" s="305">
        <f t="shared" si="0"/>
        <v>40</v>
      </c>
      <c r="AU18" s="306">
        <f t="shared" si="1"/>
        <v>1</v>
      </c>
      <c r="AV18" s="297" t="s">
        <v>555</v>
      </c>
      <c r="AW18" s="349" t="s">
        <v>219</v>
      </c>
      <c r="AX18" s="350" t="s">
        <v>189</v>
      </c>
    </row>
    <row r="19" spans="1:50" ht="45" customHeight="1" x14ac:dyDescent="0.25">
      <c r="A19" s="331">
        <v>37</v>
      </c>
      <c r="B19" s="298" t="s">
        <v>46</v>
      </c>
      <c r="C19" s="298" t="s">
        <v>46</v>
      </c>
      <c r="D19" s="298" t="s">
        <v>46</v>
      </c>
      <c r="E19" s="298" t="s">
        <v>46</v>
      </c>
      <c r="F19" s="307" t="s">
        <v>14</v>
      </c>
      <c r="G19" s="298" t="s">
        <v>46</v>
      </c>
      <c r="H19" s="298" t="s">
        <v>46</v>
      </c>
      <c r="I19" s="300" t="s">
        <v>224</v>
      </c>
      <c r="J19" s="300" t="s">
        <v>225</v>
      </c>
      <c r="K19" s="308" t="s">
        <v>192</v>
      </c>
      <c r="L19" s="309">
        <v>1632</v>
      </c>
      <c r="M19" s="308" t="s">
        <v>226</v>
      </c>
      <c r="N19" s="300" t="s">
        <v>227</v>
      </c>
      <c r="O19" s="304">
        <v>0</v>
      </c>
      <c r="P19" s="312">
        <v>1632</v>
      </c>
      <c r="Q19" s="352">
        <v>6476</v>
      </c>
      <c r="R19" s="352">
        <v>1632</v>
      </c>
      <c r="S19" s="352">
        <v>1632</v>
      </c>
      <c r="T19" s="353" t="s">
        <v>186</v>
      </c>
      <c r="U19" s="354" t="s">
        <v>544</v>
      </c>
      <c r="V19" s="305">
        <v>20</v>
      </c>
      <c r="W19" s="305">
        <v>160</v>
      </c>
      <c r="X19" s="305">
        <v>160</v>
      </c>
      <c r="Y19" s="305">
        <v>160</v>
      </c>
      <c r="Z19" s="305">
        <v>160</v>
      </c>
      <c r="AA19" s="305">
        <v>160</v>
      </c>
      <c r="AB19" s="305">
        <v>160</v>
      </c>
      <c r="AC19" s="305">
        <v>160</v>
      </c>
      <c r="AD19" s="305">
        <v>160</v>
      </c>
      <c r="AE19" s="305">
        <v>160</v>
      </c>
      <c r="AF19" s="305">
        <v>160</v>
      </c>
      <c r="AG19" s="305">
        <v>12</v>
      </c>
      <c r="AH19" s="305">
        <v>0</v>
      </c>
      <c r="AI19" s="305">
        <v>152</v>
      </c>
      <c r="AJ19" s="305">
        <v>623</v>
      </c>
      <c r="AK19" s="305">
        <v>119</v>
      </c>
      <c r="AL19" s="305">
        <f>225</f>
        <v>225</v>
      </c>
      <c r="AM19" s="305">
        <v>898</v>
      </c>
      <c r="AN19" s="305">
        <v>793</v>
      </c>
      <c r="AO19" s="305">
        <v>845</v>
      </c>
      <c r="AP19" s="305">
        <v>762</v>
      </c>
      <c r="AQ19" s="305">
        <v>931</v>
      </c>
      <c r="AR19" s="305">
        <v>849</v>
      </c>
      <c r="AS19" s="304">
        <v>542</v>
      </c>
      <c r="AT19" s="305">
        <f t="shared" si="0"/>
        <v>6739</v>
      </c>
      <c r="AU19" s="306">
        <f t="shared" si="1"/>
        <v>1.0406114885731934</v>
      </c>
      <c r="AV19" s="367" t="s">
        <v>581</v>
      </c>
      <c r="AW19" s="355" t="s">
        <v>228</v>
      </c>
      <c r="AX19" s="350" t="s">
        <v>229</v>
      </c>
    </row>
    <row r="20" spans="1:50" x14ac:dyDescent="0.25">
      <c r="A20" s="759" t="s">
        <v>230</v>
      </c>
      <c r="B20" s="748"/>
      <c r="C20" s="748"/>
      <c r="D20" s="748"/>
      <c r="E20" s="748"/>
      <c r="F20" s="748"/>
      <c r="G20" s="748"/>
      <c r="H20" s="748"/>
      <c r="I20" s="748"/>
      <c r="J20" s="748"/>
      <c r="K20" s="748"/>
      <c r="L20" s="748"/>
      <c r="M20" s="748"/>
      <c r="N20" s="748"/>
      <c r="O20" s="748"/>
      <c r="P20" s="748"/>
      <c r="Q20" s="748"/>
      <c r="R20" s="748"/>
      <c r="S20" s="748"/>
      <c r="T20" s="748"/>
      <c r="U20" s="748"/>
      <c r="V20" s="748"/>
      <c r="W20" s="748"/>
      <c r="X20" s="748"/>
      <c r="Y20" s="748"/>
      <c r="Z20" s="748"/>
      <c r="AA20" s="748"/>
      <c r="AB20" s="748"/>
      <c r="AC20" s="748"/>
      <c r="AD20" s="748"/>
      <c r="AE20" s="748"/>
      <c r="AF20" s="748"/>
      <c r="AG20" s="748"/>
      <c r="AH20" s="748"/>
      <c r="AI20" s="748"/>
      <c r="AJ20" s="748"/>
      <c r="AK20" s="748"/>
      <c r="AL20" s="748"/>
      <c r="AM20" s="748"/>
      <c r="AN20" s="748"/>
      <c r="AO20" s="748"/>
      <c r="AP20" s="748"/>
      <c r="AQ20" s="748"/>
      <c r="AR20" s="748"/>
      <c r="AS20" s="748"/>
      <c r="AT20" s="748"/>
      <c r="AU20" s="748"/>
      <c r="AV20" s="748"/>
      <c r="AW20" s="748"/>
      <c r="AX20" s="760"/>
    </row>
    <row r="21" spans="1:50" ht="72" customHeight="1" x14ac:dyDescent="0.25">
      <c r="A21" s="768" t="s">
        <v>231</v>
      </c>
      <c r="B21" s="769"/>
      <c r="C21" s="769"/>
      <c r="D21" s="754" t="s">
        <v>232</v>
      </c>
      <c r="E21" s="754"/>
      <c r="F21" s="754"/>
      <c r="G21" s="754"/>
      <c r="H21" s="754"/>
      <c r="I21" s="754"/>
      <c r="J21" s="756" t="s">
        <v>233</v>
      </c>
      <c r="K21" s="756"/>
      <c r="L21" s="756"/>
      <c r="M21" s="756"/>
      <c r="N21" s="756"/>
      <c r="O21" s="756"/>
      <c r="P21" s="754" t="s">
        <v>234</v>
      </c>
      <c r="Q21" s="754"/>
      <c r="R21" s="754"/>
      <c r="S21" s="754"/>
      <c r="T21" s="754"/>
      <c r="U21" s="754"/>
      <c r="V21" s="755" t="s">
        <v>234</v>
      </c>
      <c r="W21" s="755"/>
      <c r="X21" s="755"/>
      <c r="Y21" s="755"/>
      <c r="Z21" s="755"/>
      <c r="AA21" s="755"/>
      <c r="AB21" s="755"/>
      <c r="AC21" s="755"/>
      <c r="AD21" s="755" t="s">
        <v>234</v>
      </c>
      <c r="AE21" s="755"/>
      <c r="AF21" s="755"/>
      <c r="AG21" s="755"/>
      <c r="AH21" s="755"/>
      <c r="AI21" s="755"/>
      <c r="AJ21" s="755"/>
      <c r="AK21" s="755"/>
      <c r="AL21" s="755"/>
      <c r="AM21" s="755"/>
      <c r="AN21" s="755"/>
      <c r="AO21" s="755"/>
      <c r="AP21" s="766" t="s">
        <v>235</v>
      </c>
      <c r="AQ21" s="766"/>
      <c r="AR21" s="766"/>
      <c r="AS21" s="766"/>
      <c r="AT21" s="754" t="s">
        <v>236</v>
      </c>
      <c r="AU21" s="754"/>
      <c r="AV21" s="754"/>
      <c r="AW21" s="754"/>
      <c r="AX21" s="777"/>
    </row>
    <row r="22" spans="1:50" ht="21" customHeight="1" x14ac:dyDescent="0.25">
      <c r="A22" s="768"/>
      <c r="B22" s="769"/>
      <c r="C22" s="769"/>
      <c r="D22" s="754" t="s">
        <v>548</v>
      </c>
      <c r="E22" s="754"/>
      <c r="F22" s="754"/>
      <c r="G22" s="754"/>
      <c r="H22" s="754"/>
      <c r="I22" s="754"/>
      <c r="J22" s="756"/>
      <c r="K22" s="756"/>
      <c r="L22" s="756"/>
      <c r="M22" s="756"/>
      <c r="N22" s="756"/>
      <c r="O22" s="756"/>
      <c r="P22" s="754" t="s">
        <v>546</v>
      </c>
      <c r="Q22" s="754"/>
      <c r="R22" s="754"/>
      <c r="S22" s="754"/>
      <c r="T22" s="754"/>
      <c r="U22" s="754"/>
      <c r="V22" s="755" t="s">
        <v>538</v>
      </c>
      <c r="W22" s="755"/>
      <c r="X22" s="755"/>
      <c r="Y22" s="755"/>
      <c r="Z22" s="755"/>
      <c r="AA22" s="755"/>
      <c r="AB22" s="755"/>
      <c r="AC22" s="755"/>
      <c r="AD22" s="755" t="s">
        <v>237</v>
      </c>
      <c r="AE22" s="755"/>
      <c r="AF22" s="755"/>
      <c r="AG22" s="755"/>
      <c r="AH22" s="755"/>
      <c r="AI22" s="755"/>
      <c r="AJ22" s="755"/>
      <c r="AK22" s="755"/>
      <c r="AL22" s="755"/>
      <c r="AM22" s="755"/>
      <c r="AN22" s="755"/>
      <c r="AO22" s="755"/>
      <c r="AP22" s="766"/>
      <c r="AQ22" s="766"/>
      <c r="AR22" s="766"/>
      <c r="AS22" s="766"/>
      <c r="AT22" s="754" t="s">
        <v>237</v>
      </c>
      <c r="AU22" s="754"/>
      <c r="AV22" s="754"/>
      <c r="AW22" s="754"/>
      <c r="AX22" s="777"/>
    </row>
    <row r="23" spans="1:50" ht="48" customHeight="1" thickBot="1" x14ac:dyDescent="0.3">
      <c r="A23" s="770"/>
      <c r="B23" s="771"/>
      <c r="C23" s="771"/>
      <c r="D23" s="758" t="s">
        <v>540</v>
      </c>
      <c r="E23" s="758"/>
      <c r="F23" s="758"/>
      <c r="G23" s="758"/>
      <c r="H23" s="758"/>
      <c r="I23" s="758"/>
      <c r="J23" s="757"/>
      <c r="K23" s="757"/>
      <c r="L23" s="757"/>
      <c r="M23" s="757"/>
      <c r="N23" s="757"/>
      <c r="O23" s="757"/>
      <c r="P23" s="758" t="s">
        <v>547</v>
      </c>
      <c r="Q23" s="758"/>
      <c r="R23" s="758"/>
      <c r="S23" s="758"/>
      <c r="T23" s="758"/>
      <c r="U23" s="758"/>
      <c r="V23" s="750" t="s">
        <v>539</v>
      </c>
      <c r="W23" s="750"/>
      <c r="X23" s="750"/>
      <c r="Y23" s="750"/>
      <c r="Z23" s="750"/>
      <c r="AA23" s="750"/>
      <c r="AB23" s="750"/>
      <c r="AC23" s="750"/>
      <c r="AD23" s="750" t="s">
        <v>238</v>
      </c>
      <c r="AE23" s="750"/>
      <c r="AF23" s="750"/>
      <c r="AG23" s="750"/>
      <c r="AH23" s="750"/>
      <c r="AI23" s="750"/>
      <c r="AJ23" s="750"/>
      <c r="AK23" s="750"/>
      <c r="AL23" s="750"/>
      <c r="AM23" s="750"/>
      <c r="AN23" s="750"/>
      <c r="AO23" s="750"/>
      <c r="AP23" s="767"/>
      <c r="AQ23" s="767"/>
      <c r="AR23" s="767"/>
      <c r="AS23" s="767"/>
      <c r="AT23" s="758" t="s">
        <v>239</v>
      </c>
      <c r="AU23" s="758"/>
      <c r="AV23" s="758"/>
      <c r="AW23" s="758"/>
      <c r="AX23" s="761"/>
    </row>
  </sheetData>
  <mergeCells count="59">
    <mergeCell ref="AT22:AX22"/>
    <mergeCell ref="AT21:AX21"/>
    <mergeCell ref="A9:C9"/>
    <mergeCell ref="A5:AG5"/>
    <mergeCell ref="A6:C8"/>
    <mergeCell ref="D6:E8"/>
    <mergeCell ref="F6:G8"/>
    <mergeCell ref="H6:I6"/>
    <mergeCell ref="I17:I18"/>
    <mergeCell ref="G17:G18"/>
    <mergeCell ref="H17:H18"/>
    <mergeCell ref="AT23:AX23"/>
    <mergeCell ref="A10:C10"/>
    <mergeCell ref="D10:AG10"/>
    <mergeCell ref="AP21:AS23"/>
    <mergeCell ref="AW5:AW12"/>
    <mergeCell ref="A21:C23"/>
    <mergeCell ref="D21:I21"/>
    <mergeCell ref="L11:L12"/>
    <mergeCell ref="U11:U12"/>
    <mergeCell ref="O11:S11"/>
    <mergeCell ref="T11:T12"/>
    <mergeCell ref="N11:N12"/>
    <mergeCell ref="A11:F11"/>
    <mergeCell ref="D23:I23"/>
    <mergeCell ref="AD21:AO21"/>
    <mergeCell ref="AD22:AO22"/>
    <mergeCell ref="AD23:AO23"/>
    <mergeCell ref="AH11:AS11"/>
    <mergeCell ref="P21:U21"/>
    <mergeCell ref="I11:I12"/>
    <mergeCell ref="J11:J12"/>
    <mergeCell ref="K11:K12"/>
    <mergeCell ref="V11:AG11"/>
    <mergeCell ref="V22:AC22"/>
    <mergeCell ref="V23:AC23"/>
    <mergeCell ref="J21:O23"/>
    <mergeCell ref="P22:U22"/>
    <mergeCell ref="P23:U23"/>
    <mergeCell ref="V21:AC21"/>
    <mergeCell ref="M11:M12"/>
    <mergeCell ref="D22:I22"/>
    <mergeCell ref="A20:AX20"/>
    <mergeCell ref="A2:AV2"/>
    <mergeCell ref="A3:AV4"/>
    <mergeCell ref="AT11:AU11"/>
    <mergeCell ref="AW1:AX1"/>
    <mergeCell ref="AW2:AX2"/>
    <mergeCell ref="AW3:AX3"/>
    <mergeCell ref="AW4:AX4"/>
    <mergeCell ref="A1:AV1"/>
    <mergeCell ref="AX5:AX12"/>
    <mergeCell ref="H7:I7"/>
    <mergeCell ref="H8:I8"/>
    <mergeCell ref="AV5:AV12"/>
    <mergeCell ref="AH5:AU10"/>
    <mergeCell ref="K6:U8"/>
    <mergeCell ref="D9:AG9"/>
    <mergeCell ref="G11:H11"/>
  </mergeCells>
  <phoneticPr fontId="50" type="noConversion"/>
  <printOptions horizontalCentered="1"/>
  <pageMargins left="0.73685039370078742" right="0.19685039370078741" top="0.19685039370078741" bottom="0.19685039370078741" header="0" footer="0"/>
  <pageSetup paperSize="9" scale="21"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x14ac:dyDescent="0.25"/>
  <cols>
    <col min="1" max="1" width="38.42578125" style="50" customWidth="1"/>
    <col min="2" max="2" width="15.42578125" style="50" customWidth="1"/>
    <col min="3" max="3" width="16.42578125" style="50" customWidth="1"/>
    <col min="4" max="6" width="7" style="50" customWidth="1"/>
    <col min="7" max="15" width="7.42578125" style="50" customWidth="1"/>
    <col min="16" max="16" width="13.425781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425781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42578125" style="50" customWidth="1"/>
    <col min="35" max="35" width="18.42578125" style="50" bestFit="1" customWidth="1"/>
    <col min="36" max="36" width="4.4257812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x14ac:dyDescent="0.25">
      <c r="A1" s="489"/>
      <c r="B1" s="492" t="s">
        <v>0</v>
      </c>
      <c r="C1" s="493"/>
      <c r="D1" s="493"/>
      <c r="E1" s="493"/>
      <c r="F1" s="493"/>
      <c r="G1" s="493"/>
      <c r="H1" s="493"/>
      <c r="I1" s="493"/>
      <c r="J1" s="493"/>
      <c r="K1" s="493"/>
      <c r="L1" s="493"/>
      <c r="M1" s="493"/>
      <c r="N1" s="493"/>
      <c r="O1" s="493"/>
      <c r="P1" s="493"/>
      <c r="Q1" s="493"/>
      <c r="R1" s="493"/>
      <c r="S1" s="493"/>
      <c r="T1" s="493"/>
      <c r="U1" s="493"/>
      <c r="V1" s="493"/>
      <c r="W1" s="493"/>
      <c r="X1" s="493"/>
      <c r="Y1" s="494"/>
      <c r="Z1" s="880" t="s">
        <v>1</v>
      </c>
      <c r="AA1" s="881"/>
      <c r="AB1" s="882"/>
    </row>
    <row r="2" spans="1:28" ht="30.75" customHeight="1" x14ac:dyDescent="0.25">
      <c r="A2" s="490"/>
      <c r="B2" s="498" t="s">
        <v>2</v>
      </c>
      <c r="C2" s="499"/>
      <c r="D2" s="499"/>
      <c r="E2" s="499"/>
      <c r="F2" s="499"/>
      <c r="G2" s="499"/>
      <c r="H2" s="499"/>
      <c r="I2" s="499"/>
      <c r="J2" s="499"/>
      <c r="K2" s="499"/>
      <c r="L2" s="499"/>
      <c r="M2" s="499"/>
      <c r="N2" s="499"/>
      <c r="O2" s="499"/>
      <c r="P2" s="499"/>
      <c r="Q2" s="499"/>
      <c r="R2" s="499"/>
      <c r="S2" s="499"/>
      <c r="T2" s="499"/>
      <c r="U2" s="499"/>
      <c r="V2" s="499"/>
      <c r="W2" s="499"/>
      <c r="X2" s="499"/>
      <c r="Y2" s="500"/>
      <c r="Z2" s="866" t="s">
        <v>240</v>
      </c>
      <c r="AA2" s="867"/>
      <c r="AB2" s="868"/>
    </row>
    <row r="3" spans="1:28" ht="24" customHeight="1" x14ac:dyDescent="0.25">
      <c r="A3" s="490"/>
      <c r="B3" s="504" t="s">
        <v>4</v>
      </c>
      <c r="C3" s="505"/>
      <c r="D3" s="505"/>
      <c r="E3" s="505"/>
      <c r="F3" s="505"/>
      <c r="G3" s="505"/>
      <c r="H3" s="505"/>
      <c r="I3" s="505"/>
      <c r="J3" s="505"/>
      <c r="K3" s="505"/>
      <c r="L3" s="505"/>
      <c r="M3" s="505"/>
      <c r="N3" s="505"/>
      <c r="O3" s="505"/>
      <c r="P3" s="505"/>
      <c r="Q3" s="505"/>
      <c r="R3" s="505"/>
      <c r="S3" s="505"/>
      <c r="T3" s="505"/>
      <c r="U3" s="505"/>
      <c r="V3" s="505"/>
      <c r="W3" s="505"/>
      <c r="X3" s="505"/>
      <c r="Y3" s="506"/>
      <c r="Z3" s="866" t="s">
        <v>241</v>
      </c>
      <c r="AA3" s="867"/>
      <c r="AB3" s="868"/>
    </row>
    <row r="4" spans="1:28" ht="15.75" customHeight="1" thickBot="1" x14ac:dyDescent="0.3">
      <c r="A4" s="491"/>
      <c r="B4" s="507"/>
      <c r="C4" s="508"/>
      <c r="D4" s="508"/>
      <c r="E4" s="508"/>
      <c r="F4" s="508"/>
      <c r="G4" s="508"/>
      <c r="H4" s="508"/>
      <c r="I4" s="508"/>
      <c r="J4" s="508"/>
      <c r="K4" s="508"/>
      <c r="L4" s="508"/>
      <c r="M4" s="508"/>
      <c r="N4" s="508"/>
      <c r="O4" s="508"/>
      <c r="P4" s="508"/>
      <c r="Q4" s="508"/>
      <c r="R4" s="508"/>
      <c r="S4" s="508"/>
      <c r="T4" s="508"/>
      <c r="U4" s="508"/>
      <c r="V4" s="508"/>
      <c r="W4" s="508"/>
      <c r="X4" s="508"/>
      <c r="Y4" s="509"/>
      <c r="Z4" s="869" t="s">
        <v>242</v>
      </c>
      <c r="AA4" s="870"/>
      <c r="AB4" s="871"/>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515" t="s">
        <v>15</v>
      </c>
      <c r="B7" s="516"/>
      <c r="C7" s="513"/>
      <c r="D7" s="514"/>
      <c r="E7" s="514"/>
      <c r="F7" s="514"/>
      <c r="G7" s="514"/>
      <c r="H7" s="514"/>
      <c r="I7" s="514"/>
      <c r="J7" s="514"/>
      <c r="K7" s="879"/>
      <c r="L7" s="62"/>
      <c r="M7" s="63"/>
      <c r="N7" s="63"/>
      <c r="O7" s="63"/>
      <c r="P7" s="63"/>
      <c r="Q7" s="64"/>
      <c r="R7" s="811" t="s">
        <v>9</v>
      </c>
      <c r="S7" s="872"/>
      <c r="T7" s="812"/>
      <c r="U7" s="805" t="s">
        <v>243</v>
      </c>
      <c r="V7" s="806"/>
      <c r="W7" s="811" t="s">
        <v>10</v>
      </c>
      <c r="X7" s="812"/>
      <c r="Y7" s="800" t="s">
        <v>11</v>
      </c>
      <c r="Z7" s="801"/>
      <c r="AA7" s="875"/>
      <c r="AB7" s="876"/>
    </row>
    <row r="8" spans="1:28" ht="15" customHeight="1" x14ac:dyDescent="0.25">
      <c r="A8" s="517"/>
      <c r="B8" s="518"/>
      <c r="C8" s="504"/>
      <c r="D8" s="505"/>
      <c r="E8" s="505"/>
      <c r="F8" s="505"/>
      <c r="G8" s="505"/>
      <c r="H8" s="505"/>
      <c r="I8" s="505"/>
      <c r="J8" s="505"/>
      <c r="K8" s="506"/>
      <c r="L8" s="62"/>
      <c r="M8" s="63"/>
      <c r="N8" s="63"/>
      <c r="O8" s="63"/>
      <c r="P8" s="63"/>
      <c r="Q8" s="64"/>
      <c r="R8" s="813"/>
      <c r="S8" s="873"/>
      <c r="T8" s="814"/>
      <c r="U8" s="807"/>
      <c r="V8" s="808"/>
      <c r="W8" s="813"/>
      <c r="X8" s="814"/>
      <c r="Y8" s="796" t="s">
        <v>12</v>
      </c>
      <c r="Z8" s="797"/>
      <c r="AA8" s="883"/>
      <c r="AB8" s="884"/>
    </row>
    <row r="9" spans="1:28" ht="15" customHeight="1" thickBot="1" x14ac:dyDescent="0.3">
      <c r="A9" s="519"/>
      <c r="B9" s="520"/>
      <c r="C9" s="507"/>
      <c r="D9" s="508"/>
      <c r="E9" s="508"/>
      <c r="F9" s="508"/>
      <c r="G9" s="508"/>
      <c r="H9" s="508"/>
      <c r="I9" s="508"/>
      <c r="J9" s="508"/>
      <c r="K9" s="509"/>
      <c r="L9" s="62"/>
      <c r="M9" s="63"/>
      <c r="N9" s="63"/>
      <c r="O9" s="63"/>
      <c r="P9" s="63"/>
      <c r="Q9" s="64"/>
      <c r="R9" s="815"/>
      <c r="S9" s="874"/>
      <c r="T9" s="816"/>
      <c r="U9" s="809"/>
      <c r="V9" s="810"/>
      <c r="W9" s="815"/>
      <c r="X9" s="816"/>
      <c r="Y9" s="877" t="s">
        <v>13</v>
      </c>
      <c r="Z9" s="878"/>
      <c r="AA9" s="885"/>
      <c r="AB9" s="886"/>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471" t="s">
        <v>17</v>
      </c>
      <c r="B11" s="472"/>
      <c r="C11" s="478"/>
      <c r="D11" s="479"/>
      <c r="E11" s="479"/>
      <c r="F11" s="479"/>
      <c r="G11" s="479"/>
      <c r="H11" s="479"/>
      <c r="I11" s="479"/>
      <c r="J11" s="479"/>
      <c r="K11" s="480"/>
      <c r="L11" s="72"/>
      <c r="M11" s="484" t="s">
        <v>19</v>
      </c>
      <c r="N11" s="488"/>
      <c r="O11" s="488"/>
      <c r="P11" s="488"/>
      <c r="Q11" s="485"/>
      <c r="R11" s="481"/>
      <c r="S11" s="482"/>
      <c r="T11" s="482"/>
      <c r="U11" s="482"/>
      <c r="V11" s="483"/>
      <c r="W11" s="484" t="s">
        <v>21</v>
      </c>
      <c r="X11" s="485"/>
      <c r="Y11" s="467"/>
      <c r="Z11" s="468"/>
      <c r="AA11" s="468"/>
      <c r="AB11" s="469"/>
    </row>
    <row r="12" spans="1:28" ht="9" customHeight="1" thickBot="1" x14ac:dyDescent="0.3">
      <c r="A12" s="59"/>
      <c r="B12" s="54"/>
      <c r="C12" s="470"/>
      <c r="D12" s="470"/>
      <c r="E12" s="470"/>
      <c r="F12" s="470"/>
      <c r="G12" s="470"/>
      <c r="H12" s="470"/>
      <c r="I12" s="470"/>
      <c r="J12" s="470"/>
      <c r="K12" s="470"/>
      <c r="L12" s="470"/>
      <c r="M12" s="470"/>
      <c r="N12" s="470"/>
      <c r="O12" s="470"/>
      <c r="P12" s="470"/>
      <c r="Q12" s="470"/>
      <c r="R12" s="470"/>
      <c r="S12" s="470"/>
      <c r="T12" s="470"/>
      <c r="U12" s="470"/>
      <c r="V12" s="470"/>
      <c r="W12" s="470"/>
      <c r="X12" s="470"/>
      <c r="Y12" s="470"/>
      <c r="Z12" s="470"/>
      <c r="AA12" s="73"/>
      <c r="AB12" s="74"/>
    </row>
    <row r="13" spans="1:28" s="76" customFormat="1" ht="37.5" customHeight="1" thickBot="1" x14ac:dyDescent="0.3">
      <c r="A13" s="471" t="s">
        <v>23</v>
      </c>
      <c r="B13" s="472"/>
      <c r="C13" s="473"/>
      <c r="D13" s="474"/>
      <c r="E13" s="474"/>
      <c r="F13" s="474"/>
      <c r="G13" s="474"/>
      <c r="H13" s="474"/>
      <c r="I13" s="474"/>
      <c r="J13" s="474"/>
      <c r="K13" s="474"/>
      <c r="L13" s="474"/>
      <c r="M13" s="474"/>
      <c r="N13" s="474"/>
      <c r="O13" s="474"/>
      <c r="P13" s="474"/>
      <c r="Q13" s="475"/>
      <c r="R13" s="54"/>
      <c r="S13" s="835" t="s">
        <v>244</v>
      </c>
      <c r="T13" s="835"/>
      <c r="U13" s="75"/>
      <c r="V13" s="847" t="s">
        <v>26</v>
      </c>
      <c r="W13" s="835"/>
      <c r="X13" s="835"/>
      <c r="Y13" s="835"/>
      <c r="Z13" s="54"/>
      <c r="AA13" s="476"/>
      <c r="AB13" s="477"/>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515" t="s">
        <v>7</v>
      </c>
      <c r="B15" s="516"/>
      <c r="C15" s="859" t="s">
        <v>245</v>
      </c>
      <c r="D15" s="80"/>
      <c r="E15" s="80"/>
      <c r="F15" s="80"/>
      <c r="G15" s="80"/>
      <c r="H15" s="80"/>
      <c r="I15" s="80"/>
      <c r="J15" s="70"/>
      <c r="K15" s="81"/>
      <c r="L15" s="70"/>
      <c r="M15" s="60"/>
      <c r="N15" s="60"/>
      <c r="O15" s="60"/>
      <c r="P15" s="60"/>
      <c r="Q15" s="848" t="s">
        <v>27</v>
      </c>
      <c r="R15" s="849"/>
      <c r="S15" s="849"/>
      <c r="T15" s="849"/>
      <c r="U15" s="849"/>
      <c r="V15" s="849"/>
      <c r="W15" s="849"/>
      <c r="X15" s="849"/>
      <c r="Y15" s="849"/>
      <c r="Z15" s="849"/>
      <c r="AA15" s="849"/>
      <c r="AB15" s="850"/>
    </row>
    <row r="16" spans="1:28" ht="35.25" customHeight="1" thickBot="1" x14ac:dyDescent="0.3">
      <c r="A16" s="519"/>
      <c r="B16" s="520"/>
      <c r="C16" s="860"/>
      <c r="D16" s="80"/>
      <c r="E16" s="80"/>
      <c r="F16" s="80"/>
      <c r="G16" s="80"/>
      <c r="H16" s="80"/>
      <c r="I16" s="80"/>
      <c r="J16" s="70"/>
      <c r="K16" s="70"/>
      <c r="L16" s="70"/>
      <c r="M16" s="60"/>
      <c r="N16" s="60"/>
      <c r="O16" s="60"/>
      <c r="P16" s="60"/>
      <c r="Q16" s="844" t="s">
        <v>246</v>
      </c>
      <c r="R16" s="803"/>
      <c r="S16" s="803"/>
      <c r="T16" s="803"/>
      <c r="U16" s="803"/>
      <c r="V16" s="845"/>
      <c r="W16" s="802" t="s">
        <v>247</v>
      </c>
      <c r="X16" s="803"/>
      <c r="Y16" s="803"/>
      <c r="Z16" s="803"/>
      <c r="AA16" s="803"/>
      <c r="AB16" s="804"/>
    </row>
    <row r="17" spans="1:39" ht="27" customHeight="1" x14ac:dyDescent="0.25">
      <c r="A17" s="82"/>
      <c r="B17" s="60"/>
      <c r="C17" s="60"/>
      <c r="D17" s="80"/>
      <c r="E17" s="80"/>
      <c r="F17" s="80"/>
      <c r="G17" s="80"/>
      <c r="H17" s="80"/>
      <c r="I17" s="80"/>
      <c r="J17" s="80"/>
      <c r="K17" s="80"/>
      <c r="L17" s="80"/>
      <c r="M17" s="60"/>
      <c r="N17" s="60"/>
      <c r="O17" s="60"/>
      <c r="P17" s="60"/>
      <c r="Q17" s="820" t="s">
        <v>248</v>
      </c>
      <c r="R17" s="821"/>
      <c r="S17" s="822"/>
      <c r="T17" s="826" t="s">
        <v>249</v>
      </c>
      <c r="U17" s="827"/>
      <c r="V17" s="828"/>
      <c r="W17" s="887" t="s">
        <v>248</v>
      </c>
      <c r="X17" s="822"/>
      <c r="Y17" s="887" t="s">
        <v>250</v>
      </c>
      <c r="Z17" s="822"/>
      <c r="AA17" s="826" t="s">
        <v>251</v>
      </c>
      <c r="AB17" s="888"/>
      <c r="AC17" s="83"/>
      <c r="AD17" s="83"/>
    </row>
    <row r="18" spans="1:39" ht="27" customHeight="1" x14ac:dyDescent="0.25">
      <c r="A18" s="82"/>
      <c r="B18" s="60"/>
      <c r="C18" s="60"/>
      <c r="D18" s="80"/>
      <c r="E18" s="80"/>
      <c r="F18" s="80"/>
      <c r="G18" s="80"/>
      <c r="H18" s="80"/>
      <c r="I18" s="80"/>
      <c r="J18" s="80"/>
      <c r="K18" s="80"/>
      <c r="L18" s="80"/>
      <c r="M18" s="60"/>
      <c r="N18" s="60"/>
      <c r="O18" s="60"/>
      <c r="P18" s="60"/>
      <c r="Q18" s="148"/>
      <c r="R18" s="149"/>
      <c r="S18" s="150"/>
      <c r="T18" s="826"/>
      <c r="U18" s="827"/>
      <c r="V18" s="828"/>
      <c r="W18" s="135"/>
      <c r="X18" s="136"/>
      <c r="Y18" s="135"/>
      <c r="Z18" s="136"/>
      <c r="AA18" s="137"/>
      <c r="AB18" s="138"/>
      <c r="AC18" s="83"/>
      <c r="AD18" s="83"/>
    </row>
    <row r="19" spans="1:39" ht="18" customHeight="1" thickBot="1" x14ac:dyDescent="0.3">
      <c r="A19" s="59"/>
      <c r="B19" s="54"/>
      <c r="C19" s="80"/>
      <c r="D19" s="80"/>
      <c r="E19" s="80"/>
      <c r="F19" s="80"/>
      <c r="G19" s="84"/>
      <c r="H19" s="84"/>
      <c r="I19" s="84"/>
      <c r="J19" s="84"/>
      <c r="K19" s="84"/>
      <c r="L19" s="84"/>
      <c r="M19" s="80"/>
      <c r="N19" s="80"/>
      <c r="O19" s="80"/>
      <c r="P19" s="80"/>
      <c r="Q19" s="817"/>
      <c r="R19" s="818"/>
      <c r="S19" s="819"/>
      <c r="T19" s="825"/>
      <c r="U19" s="818"/>
      <c r="V19" s="819"/>
      <c r="W19" s="851"/>
      <c r="X19" s="852"/>
      <c r="Y19" s="889"/>
      <c r="Z19" s="890"/>
      <c r="AA19" s="823"/>
      <c r="AB19" s="824"/>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463" t="s">
        <v>49</v>
      </c>
      <c r="B21" s="464"/>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6"/>
    </row>
    <row r="22" spans="1:39" ht="15" customHeight="1" x14ac:dyDescent="0.25">
      <c r="A22" s="458" t="s">
        <v>50</v>
      </c>
      <c r="B22" s="460" t="s">
        <v>51</v>
      </c>
      <c r="C22" s="461"/>
      <c r="D22" s="423" t="s">
        <v>52</v>
      </c>
      <c r="E22" s="424"/>
      <c r="F22" s="424"/>
      <c r="G22" s="424"/>
      <c r="H22" s="424"/>
      <c r="I22" s="424"/>
      <c r="J22" s="424"/>
      <c r="K22" s="424"/>
      <c r="L22" s="424"/>
      <c r="M22" s="424"/>
      <c r="N22" s="424"/>
      <c r="O22" s="462"/>
      <c r="P22" s="451" t="s">
        <v>41</v>
      </c>
      <c r="Q22" s="451" t="s">
        <v>53</v>
      </c>
      <c r="R22" s="451"/>
      <c r="S22" s="451"/>
      <c r="T22" s="451"/>
      <c r="U22" s="451"/>
      <c r="V22" s="451"/>
      <c r="W22" s="451"/>
      <c r="X22" s="451"/>
      <c r="Y22" s="451"/>
      <c r="Z22" s="451"/>
      <c r="AA22" s="451"/>
      <c r="AB22" s="453"/>
    </row>
    <row r="23" spans="1:39" ht="27" customHeight="1" x14ac:dyDescent="0.25">
      <c r="A23" s="459"/>
      <c r="B23" s="454"/>
      <c r="C23" s="456"/>
      <c r="D23" s="88" t="s">
        <v>30</v>
      </c>
      <c r="E23" s="88" t="s">
        <v>31</v>
      </c>
      <c r="F23" s="88" t="s">
        <v>32</v>
      </c>
      <c r="G23" s="88" t="s">
        <v>33</v>
      </c>
      <c r="H23" s="88" t="s">
        <v>34</v>
      </c>
      <c r="I23" s="88" t="s">
        <v>35</v>
      </c>
      <c r="J23" s="88" t="s">
        <v>8</v>
      </c>
      <c r="K23" s="88" t="s">
        <v>36</v>
      </c>
      <c r="L23" s="88" t="s">
        <v>37</v>
      </c>
      <c r="M23" s="88" t="s">
        <v>38</v>
      </c>
      <c r="N23" s="88" t="s">
        <v>39</v>
      </c>
      <c r="O23" s="88" t="s">
        <v>40</v>
      </c>
      <c r="P23" s="462"/>
      <c r="Q23" s="451"/>
      <c r="R23" s="451"/>
      <c r="S23" s="451"/>
      <c r="T23" s="451"/>
      <c r="U23" s="451"/>
      <c r="V23" s="451"/>
      <c r="W23" s="451"/>
      <c r="X23" s="451"/>
      <c r="Y23" s="451"/>
      <c r="Z23" s="451"/>
      <c r="AA23" s="451"/>
      <c r="AB23" s="453"/>
    </row>
    <row r="24" spans="1:39" ht="42" customHeight="1" thickBot="1" x14ac:dyDescent="0.3">
      <c r="A24" s="85"/>
      <c r="B24" s="572"/>
      <c r="C24" s="573"/>
      <c r="D24" s="89"/>
      <c r="E24" s="89"/>
      <c r="F24" s="89"/>
      <c r="G24" s="89"/>
      <c r="H24" s="89"/>
      <c r="I24" s="89"/>
      <c r="J24" s="89"/>
      <c r="K24" s="89"/>
      <c r="L24" s="89"/>
      <c r="M24" s="89"/>
      <c r="N24" s="89"/>
      <c r="O24" s="89"/>
      <c r="P24" s="86">
        <f>SUM(D24:O24)</f>
        <v>0</v>
      </c>
      <c r="Q24" s="893" t="s">
        <v>252</v>
      </c>
      <c r="R24" s="893"/>
      <c r="S24" s="893"/>
      <c r="T24" s="893"/>
      <c r="U24" s="893"/>
      <c r="V24" s="893"/>
      <c r="W24" s="893"/>
      <c r="X24" s="893"/>
      <c r="Y24" s="893"/>
      <c r="Z24" s="893"/>
      <c r="AA24" s="893"/>
      <c r="AB24" s="894"/>
    </row>
    <row r="25" spans="1:39" ht="21.95" customHeight="1" x14ac:dyDescent="0.25">
      <c r="A25" s="448" t="s">
        <v>55</v>
      </c>
      <c r="B25" s="449"/>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50"/>
    </row>
    <row r="26" spans="1:39" ht="23.25" customHeight="1" x14ac:dyDescent="0.25">
      <c r="A26" s="416" t="s">
        <v>56</v>
      </c>
      <c r="B26" s="451" t="s">
        <v>57</v>
      </c>
      <c r="C26" s="451" t="s">
        <v>51</v>
      </c>
      <c r="D26" s="451" t="s">
        <v>58</v>
      </c>
      <c r="E26" s="451"/>
      <c r="F26" s="451"/>
      <c r="G26" s="451"/>
      <c r="H26" s="451"/>
      <c r="I26" s="451"/>
      <c r="J26" s="451"/>
      <c r="K26" s="451"/>
      <c r="L26" s="451"/>
      <c r="M26" s="451"/>
      <c r="N26" s="451"/>
      <c r="O26" s="451"/>
      <c r="P26" s="451"/>
      <c r="Q26" s="451" t="s">
        <v>59</v>
      </c>
      <c r="R26" s="451"/>
      <c r="S26" s="451"/>
      <c r="T26" s="451"/>
      <c r="U26" s="451"/>
      <c r="V26" s="451"/>
      <c r="W26" s="451"/>
      <c r="X26" s="451"/>
      <c r="Y26" s="451"/>
      <c r="Z26" s="451"/>
      <c r="AA26" s="451"/>
      <c r="AB26" s="453"/>
      <c r="AE26" s="87"/>
      <c r="AF26" s="87"/>
      <c r="AG26" s="87"/>
      <c r="AH26" s="87"/>
      <c r="AI26" s="87"/>
      <c r="AJ26" s="87"/>
      <c r="AK26" s="87"/>
      <c r="AL26" s="87"/>
      <c r="AM26" s="87"/>
    </row>
    <row r="27" spans="1:39" ht="23.25" customHeight="1" x14ac:dyDescent="0.25">
      <c r="A27" s="416"/>
      <c r="B27" s="451"/>
      <c r="C27" s="452"/>
      <c r="D27" s="88" t="s">
        <v>30</v>
      </c>
      <c r="E27" s="88" t="s">
        <v>31</v>
      </c>
      <c r="F27" s="88" t="s">
        <v>32</v>
      </c>
      <c r="G27" s="88" t="s">
        <v>33</v>
      </c>
      <c r="H27" s="88" t="s">
        <v>34</v>
      </c>
      <c r="I27" s="88" t="s">
        <v>35</v>
      </c>
      <c r="J27" s="88" t="s">
        <v>8</v>
      </c>
      <c r="K27" s="88" t="s">
        <v>36</v>
      </c>
      <c r="L27" s="88" t="s">
        <v>37</v>
      </c>
      <c r="M27" s="88" t="s">
        <v>38</v>
      </c>
      <c r="N27" s="88" t="s">
        <v>39</v>
      </c>
      <c r="O27" s="88" t="s">
        <v>40</v>
      </c>
      <c r="P27" s="88" t="s">
        <v>41</v>
      </c>
      <c r="Q27" s="454" t="s">
        <v>60</v>
      </c>
      <c r="R27" s="455"/>
      <c r="S27" s="455"/>
      <c r="T27" s="456"/>
      <c r="U27" s="454" t="s">
        <v>61</v>
      </c>
      <c r="V27" s="455"/>
      <c r="W27" s="455"/>
      <c r="X27" s="456"/>
      <c r="Y27" s="454" t="s">
        <v>62</v>
      </c>
      <c r="Z27" s="455"/>
      <c r="AA27" s="455"/>
      <c r="AB27" s="457"/>
      <c r="AE27" s="87"/>
      <c r="AF27" s="87"/>
      <c r="AG27" s="87"/>
      <c r="AH27" s="87"/>
      <c r="AI27" s="87"/>
      <c r="AJ27" s="87"/>
      <c r="AK27" s="87"/>
      <c r="AL27" s="87"/>
      <c r="AM27" s="87"/>
    </row>
    <row r="28" spans="1:39" ht="33" customHeight="1" x14ac:dyDescent="0.25">
      <c r="A28" s="891"/>
      <c r="B28" s="798"/>
      <c r="C28" s="90" t="s">
        <v>63</v>
      </c>
      <c r="D28" s="89"/>
      <c r="E28" s="89"/>
      <c r="F28" s="89"/>
      <c r="G28" s="89"/>
      <c r="H28" s="89"/>
      <c r="I28" s="89"/>
      <c r="J28" s="89"/>
      <c r="K28" s="89"/>
      <c r="L28" s="89"/>
      <c r="M28" s="89"/>
      <c r="N28" s="89"/>
      <c r="O28" s="89"/>
      <c r="P28" s="146">
        <f>SUM(D28:O28)</f>
        <v>0</v>
      </c>
      <c r="Q28" s="836" t="s">
        <v>253</v>
      </c>
      <c r="R28" s="837"/>
      <c r="S28" s="837"/>
      <c r="T28" s="838"/>
      <c r="U28" s="836" t="s">
        <v>254</v>
      </c>
      <c r="V28" s="837"/>
      <c r="W28" s="837"/>
      <c r="X28" s="838"/>
      <c r="Y28" s="836" t="s">
        <v>255</v>
      </c>
      <c r="Z28" s="837"/>
      <c r="AA28" s="837"/>
      <c r="AB28" s="842"/>
      <c r="AE28" s="87"/>
      <c r="AF28" s="87"/>
      <c r="AG28" s="87"/>
      <c r="AH28" s="87"/>
      <c r="AI28" s="87"/>
      <c r="AJ28" s="87"/>
      <c r="AK28" s="87"/>
      <c r="AL28" s="87"/>
      <c r="AM28" s="87"/>
    </row>
    <row r="29" spans="1:39" ht="33.950000000000003" customHeight="1" thickBot="1" x14ac:dyDescent="0.3">
      <c r="A29" s="892"/>
      <c r="B29" s="799"/>
      <c r="C29" s="91" t="s">
        <v>64</v>
      </c>
      <c r="D29" s="92"/>
      <c r="E29" s="92"/>
      <c r="F29" s="92"/>
      <c r="G29" s="93"/>
      <c r="H29" s="93"/>
      <c r="I29" s="93"/>
      <c r="J29" s="93"/>
      <c r="K29" s="93"/>
      <c r="L29" s="93"/>
      <c r="M29" s="93"/>
      <c r="N29" s="93"/>
      <c r="O29" s="93"/>
      <c r="P29" s="147">
        <f>SUM(D29:O29)</f>
        <v>0</v>
      </c>
      <c r="Q29" s="839"/>
      <c r="R29" s="840"/>
      <c r="S29" s="840"/>
      <c r="T29" s="841"/>
      <c r="U29" s="839"/>
      <c r="V29" s="840"/>
      <c r="W29" s="840"/>
      <c r="X29" s="841"/>
      <c r="Y29" s="839"/>
      <c r="Z29" s="840"/>
      <c r="AA29" s="840"/>
      <c r="AB29" s="843"/>
      <c r="AC29" s="49"/>
      <c r="AE29" s="87"/>
      <c r="AF29" s="87"/>
      <c r="AG29" s="87"/>
      <c r="AH29" s="87"/>
      <c r="AI29" s="87"/>
      <c r="AJ29" s="87"/>
      <c r="AK29" s="87"/>
      <c r="AL29" s="87"/>
      <c r="AM29" s="87"/>
    </row>
    <row r="30" spans="1:39" ht="26.25" customHeight="1" x14ac:dyDescent="0.25">
      <c r="A30" s="415" t="s">
        <v>65</v>
      </c>
      <c r="B30" s="417" t="s">
        <v>66</v>
      </c>
      <c r="C30" s="419" t="s">
        <v>67</v>
      </c>
      <c r="D30" s="419"/>
      <c r="E30" s="419"/>
      <c r="F30" s="419"/>
      <c r="G30" s="419"/>
      <c r="H30" s="419"/>
      <c r="I30" s="419"/>
      <c r="J30" s="419"/>
      <c r="K30" s="419"/>
      <c r="L30" s="419"/>
      <c r="M30" s="419"/>
      <c r="N30" s="419"/>
      <c r="O30" s="419"/>
      <c r="P30" s="419"/>
      <c r="Q30" s="420" t="s">
        <v>68</v>
      </c>
      <c r="R30" s="421"/>
      <c r="S30" s="421"/>
      <c r="T30" s="421"/>
      <c r="U30" s="421"/>
      <c r="V30" s="421"/>
      <c r="W30" s="421"/>
      <c r="X30" s="421"/>
      <c r="Y30" s="421"/>
      <c r="Z30" s="421"/>
      <c r="AA30" s="421"/>
      <c r="AB30" s="422"/>
      <c r="AE30" s="87"/>
      <c r="AF30" s="87"/>
      <c r="AG30" s="87"/>
      <c r="AH30" s="87"/>
      <c r="AI30" s="87"/>
      <c r="AJ30" s="87"/>
      <c r="AK30" s="87"/>
      <c r="AL30" s="87"/>
      <c r="AM30" s="87"/>
    </row>
    <row r="31" spans="1:39" ht="26.25" customHeight="1" x14ac:dyDescent="0.25">
      <c r="A31" s="416"/>
      <c r="B31" s="418"/>
      <c r="C31" s="88" t="s">
        <v>69</v>
      </c>
      <c r="D31" s="88" t="s">
        <v>70</v>
      </c>
      <c r="E31" s="88" t="s">
        <v>71</v>
      </c>
      <c r="F31" s="88" t="s">
        <v>72</v>
      </c>
      <c r="G31" s="88" t="s">
        <v>73</v>
      </c>
      <c r="H31" s="88" t="s">
        <v>74</v>
      </c>
      <c r="I31" s="88" t="s">
        <v>75</v>
      </c>
      <c r="J31" s="88" t="s">
        <v>76</v>
      </c>
      <c r="K31" s="88" t="s">
        <v>77</v>
      </c>
      <c r="L31" s="88" t="s">
        <v>78</v>
      </c>
      <c r="M31" s="88" t="s">
        <v>79</v>
      </c>
      <c r="N31" s="88" t="s">
        <v>80</v>
      </c>
      <c r="O31" s="88" t="s">
        <v>81</v>
      </c>
      <c r="P31" s="88" t="s">
        <v>82</v>
      </c>
      <c r="Q31" s="423" t="s">
        <v>83</v>
      </c>
      <c r="R31" s="424"/>
      <c r="S31" s="424"/>
      <c r="T31" s="424"/>
      <c r="U31" s="424"/>
      <c r="V31" s="424"/>
      <c r="W31" s="424"/>
      <c r="X31" s="424"/>
      <c r="Y31" s="424"/>
      <c r="Z31" s="424"/>
      <c r="AA31" s="424"/>
      <c r="AB31" s="425"/>
      <c r="AE31" s="94"/>
      <c r="AF31" s="94"/>
      <c r="AG31" s="94"/>
      <c r="AH31" s="94"/>
      <c r="AI31" s="94"/>
      <c r="AJ31" s="94"/>
      <c r="AK31" s="94"/>
      <c r="AL31" s="94"/>
      <c r="AM31" s="94"/>
    </row>
    <row r="32" spans="1:39" ht="28.5" customHeight="1" x14ac:dyDescent="0.25">
      <c r="A32" s="899"/>
      <c r="B32" s="897"/>
      <c r="C32" s="90" t="s">
        <v>63</v>
      </c>
      <c r="D32" s="95"/>
      <c r="E32" s="95"/>
      <c r="F32" s="95"/>
      <c r="G32" s="95"/>
      <c r="H32" s="95"/>
      <c r="I32" s="95"/>
      <c r="J32" s="95"/>
      <c r="K32" s="95"/>
      <c r="L32" s="95"/>
      <c r="M32" s="95"/>
      <c r="N32" s="95"/>
      <c r="O32" s="95"/>
      <c r="P32" s="96">
        <f t="shared" ref="P32:P39" si="0">SUM(D32:O32)</f>
        <v>0</v>
      </c>
      <c r="Q32" s="853" t="s">
        <v>256</v>
      </c>
      <c r="R32" s="854"/>
      <c r="S32" s="854"/>
      <c r="T32" s="854"/>
      <c r="U32" s="854"/>
      <c r="V32" s="854"/>
      <c r="W32" s="854"/>
      <c r="X32" s="854"/>
      <c r="Y32" s="854"/>
      <c r="Z32" s="854"/>
      <c r="AA32" s="854"/>
      <c r="AB32" s="855"/>
      <c r="AC32" s="97"/>
      <c r="AE32" s="98"/>
      <c r="AF32" s="98"/>
      <c r="AG32" s="98"/>
      <c r="AH32" s="98"/>
      <c r="AI32" s="98"/>
      <c r="AJ32" s="98"/>
      <c r="AK32" s="98"/>
      <c r="AL32" s="98"/>
      <c r="AM32" s="98"/>
    </row>
    <row r="33" spans="1:29" ht="28.5" customHeight="1" x14ac:dyDescent="0.25">
      <c r="A33" s="590"/>
      <c r="B33" s="898"/>
      <c r="C33" s="99" t="s">
        <v>64</v>
      </c>
      <c r="D33" s="100"/>
      <c r="E33" s="100"/>
      <c r="F33" s="100"/>
      <c r="G33" s="100"/>
      <c r="H33" s="100"/>
      <c r="I33" s="100"/>
      <c r="J33" s="100"/>
      <c r="K33" s="100"/>
      <c r="L33" s="100"/>
      <c r="M33" s="100"/>
      <c r="N33" s="100"/>
      <c r="O33" s="100"/>
      <c r="P33" s="101">
        <f t="shared" si="0"/>
        <v>0</v>
      </c>
      <c r="Q33" s="856"/>
      <c r="R33" s="857"/>
      <c r="S33" s="857"/>
      <c r="T33" s="857"/>
      <c r="U33" s="857"/>
      <c r="V33" s="857"/>
      <c r="W33" s="857"/>
      <c r="X33" s="857"/>
      <c r="Y33" s="857"/>
      <c r="Z33" s="857"/>
      <c r="AA33" s="857"/>
      <c r="AB33" s="858"/>
      <c r="AC33" s="97"/>
    </row>
    <row r="34" spans="1:29" ht="28.5" customHeight="1" x14ac:dyDescent="0.25">
      <c r="A34" s="590"/>
      <c r="B34" s="861"/>
      <c r="C34" s="102" t="s">
        <v>63</v>
      </c>
      <c r="D34" s="103"/>
      <c r="E34" s="103"/>
      <c r="F34" s="103"/>
      <c r="G34" s="103"/>
      <c r="H34" s="103"/>
      <c r="I34" s="103"/>
      <c r="J34" s="103"/>
      <c r="K34" s="103"/>
      <c r="L34" s="103"/>
      <c r="M34" s="103"/>
      <c r="N34" s="103"/>
      <c r="O34" s="103"/>
      <c r="P34" s="101">
        <f t="shared" si="0"/>
        <v>0</v>
      </c>
      <c r="Q34" s="829"/>
      <c r="R34" s="830"/>
      <c r="S34" s="830"/>
      <c r="T34" s="830"/>
      <c r="U34" s="830"/>
      <c r="V34" s="830"/>
      <c r="W34" s="830"/>
      <c r="X34" s="830"/>
      <c r="Y34" s="830"/>
      <c r="Z34" s="830"/>
      <c r="AA34" s="830"/>
      <c r="AB34" s="831"/>
      <c r="AC34" s="97"/>
    </row>
    <row r="35" spans="1:29" ht="28.5" customHeight="1" x14ac:dyDescent="0.25">
      <c r="A35" s="590"/>
      <c r="B35" s="898"/>
      <c r="C35" s="99" t="s">
        <v>64</v>
      </c>
      <c r="D35" s="100"/>
      <c r="E35" s="100"/>
      <c r="F35" s="100"/>
      <c r="G35" s="100"/>
      <c r="H35" s="100"/>
      <c r="I35" s="100"/>
      <c r="J35" s="100"/>
      <c r="K35" s="100"/>
      <c r="L35" s="104"/>
      <c r="M35" s="104"/>
      <c r="N35" s="104"/>
      <c r="O35" s="104"/>
      <c r="P35" s="101">
        <f t="shared" si="0"/>
        <v>0</v>
      </c>
      <c r="Q35" s="832"/>
      <c r="R35" s="833"/>
      <c r="S35" s="833"/>
      <c r="T35" s="833"/>
      <c r="U35" s="833"/>
      <c r="V35" s="833"/>
      <c r="W35" s="833"/>
      <c r="X35" s="833"/>
      <c r="Y35" s="833"/>
      <c r="Z35" s="833"/>
      <c r="AA35" s="833"/>
      <c r="AB35" s="834"/>
      <c r="AC35" s="97"/>
    </row>
    <row r="36" spans="1:29" ht="28.5" customHeight="1" x14ac:dyDescent="0.25">
      <c r="A36" s="895"/>
      <c r="B36" s="861"/>
      <c r="C36" s="102" t="s">
        <v>63</v>
      </c>
      <c r="D36" s="103"/>
      <c r="E36" s="103"/>
      <c r="F36" s="103"/>
      <c r="G36" s="103"/>
      <c r="H36" s="103"/>
      <c r="I36" s="103"/>
      <c r="J36" s="103"/>
      <c r="K36" s="103"/>
      <c r="L36" s="103"/>
      <c r="M36" s="103"/>
      <c r="N36" s="103"/>
      <c r="O36" s="103"/>
      <c r="P36" s="101">
        <f t="shared" si="0"/>
        <v>0</v>
      </c>
      <c r="Q36" s="829"/>
      <c r="R36" s="830"/>
      <c r="S36" s="830"/>
      <c r="T36" s="830"/>
      <c r="U36" s="830"/>
      <c r="V36" s="830"/>
      <c r="W36" s="830"/>
      <c r="X36" s="830"/>
      <c r="Y36" s="830"/>
      <c r="Z36" s="830"/>
      <c r="AA36" s="830"/>
      <c r="AB36" s="831"/>
      <c r="AC36" s="97"/>
    </row>
    <row r="37" spans="1:29" ht="28.5" customHeight="1" x14ac:dyDescent="0.25">
      <c r="A37" s="896"/>
      <c r="B37" s="898"/>
      <c r="C37" s="99" t="s">
        <v>64</v>
      </c>
      <c r="D37" s="100"/>
      <c r="E37" s="100"/>
      <c r="F37" s="100"/>
      <c r="G37" s="100"/>
      <c r="H37" s="100"/>
      <c r="I37" s="100"/>
      <c r="J37" s="100"/>
      <c r="K37" s="100"/>
      <c r="L37" s="104"/>
      <c r="M37" s="104"/>
      <c r="N37" s="104"/>
      <c r="O37" s="104"/>
      <c r="P37" s="101">
        <f t="shared" si="0"/>
        <v>0</v>
      </c>
      <c r="Q37" s="832"/>
      <c r="R37" s="833"/>
      <c r="S37" s="833"/>
      <c r="T37" s="833"/>
      <c r="U37" s="833"/>
      <c r="V37" s="833"/>
      <c r="W37" s="833"/>
      <c r="X37" s="833"/>
      <c r="Y37" s="833"/>
      <c r="Z37" s="833"/>
      <c r="AA37" s="833"/>
      <c r="AB37" s="834"/>
      <c r="AC37" s="97"/>
    </row>
    <row r="38" spans="1:29" ht="28.5" customHeight="1" x14ac:dyDescent="0.25">
      <c r="A38" s="592"/>
      <c r="B38" s="861"/>
      <c r="C38" s="102" t="s">
        <v>63</v>
      </c>
      <c r="D38" s="103"/>
      <c r="E38" s="103"/>
      <c r="F38" s="103"/>
      <c r="G38" s="103"/>
      <c r="H38" s="103"/>
      <c r="I38" s="103"/>
      <c r="J38" s="103"/>
      <c r="K38" s="103"/>
      <c r="L38" s="103"/>
      <c r="M38" s="103"/>
      <c r="N38" s="103"/>
      <c r="O38" s="103"/>
      <c r="P38" s="101">
        <f t="shared" si="0"/>
        <v>0</v>
      </c>
      <c r="Q38" s="829"/>
      <c r="R38" s="830"/>
      <c r="S38" s="830"/>
      <c r="T38" s="830"/>
      <c r="U38" s="830"/>
      <c r="V38" s="830"/>
      <c r="W38" s="830"/>
      <c r="X38" s="830"/>
      <c r="Y38" s="830"/>
      <c r="Z38" s="830"/>
      <c r="AA38" s="830"/>
      <c r="AB38" s="831"/>
      <c r="AC38" s="97"/>
    </row>
    <row r="39" spans="1:29" ht="28.5" customHeight="1" thickBot="1" x14ac:dyDescent="0.3">
      <c r="A39" s="846"/>
      <c r="B39" s="862"/>
      <c r="C39" s="91" t="s">
        <v>64</v>
      </c>
      <c r="D39" s="105"/>
      <c r="E39" s="105"/>
      <c r="F39" s="105"/>
      <c r="G39" s="105"/>
      <c r="H39" s="105"/>
      <c r="I39" s="105"/>
      <c r="J39" s="105"/>
      <c r="K39" s="105"/>
      <c r="L39" s="106"/>
      <c r="M39" s="106"/>
      <c r="N39" s="106"/>
      <c r="O39" s="106"/>
      <c r="P39" s="107">
        <f t="shared" si="0"/>
        <v>0</v>
      </c>
      <c r="Q39" s="863"/>
      <c r="R39" s="864"/>
      <c r="S39" s="864"/>
      <c r="T39" s="864"/>
      <c r="U39" s="864"/>
      <c r="V39" s="864"/>
      <c r="W39" s="864"/>
      <c r="X39" s="864"/>
      <c r="Y39" s="864"/>
      <c r="Z39" s="864"/>
      <c r="AA39" s="864"/>
      <c r="AB39" s="865"/>
      <c r="AC39" s="97"/>
    </row>
    <row r="40" spans="1:29" x14ac:dyDescent="0.25">
      <c r="A40" s="50" t="s">
        <v>230</v>
      </c>
    </row>
  </sheetData>
  <mergeCells count="86">
    <mergeCell ref="A36:A37"/>
    <mergeCell ref="B32:B33"/>
    <mergeCell ref="B30:B31"/>
    <mergeCell ref="B34:B35"/>
    <mergeCell ref="B36:B37"/>
    <mergeCell ref="A32:A33"/>
    <mergeCell ref="A30:A31"/>
    <mergeCell ref="A34:A35"/>
    <mergeCell ref="A28:A29"/>
    <mergeCell ref="A25:AB25"/>
    <mergeCell ref="D26:P26"/>
    <mergeCell ref="Q24:AB24"/>
    <mergeCell ref="B26:B27"/>
    <mergeCell ref="Q28:T29"/>
    <mergeCell ref="Y17:Z17"/>
    <mergeCell ref="AA17:AB17"/>
    <mergeCell ref="W17:X17"/>
    <mergeCell ref="B24:C24"/>
    <mergeCell ref="A26:A27"/>
    <mergeCell ref="C26:C27"/>
    <mergeCell ref="A22:A23"/>
    <mergeCell ref="Y19:Z19"/>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s>
  <dataValidations count="2">
    <dataValidation type="textLength" operator="lessThanOrEqual" allowBlank="1" showInputMessage="1" showErrorMessage="1" errorTitle="Máximo 2.000 caracteres" error="Máximo 2.000 caracteres" promptTitle="2.000 caracteres" sqref="Q24:AB24" xr:uid="{00000000-0002-0000-0800-000000000000}">
      <formula1>2000</formula1>
    </dataValidation>
    <dataValidation type="textLength" operator="lessThanOrEqual" allowBlank="1" showInputMessage="1" showErrorMessage="1" errorTitle="Máximo 2.000 caracteres" error="Máximo 2.000 caracteres" sqref="Q32:AB39 Q28 U28 Y28" xr:uid="{00000000-0002-0000-0800-000001000000}">
      <formula1>2000</formula1>
    </dataValidation>
  </dataValidations>
  <pageMargins left="0" right="0" top="0" bottom="0" header="0" footer="0"/>
  <pageSetup paperSize="41" scale="48" fitToHeight="0" orientation="landscape"/>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3" ma:contentTypeDescription="Crear nuevo documento." ma:contentTypeScope="" ma:versionID="088431767ceebc0847586a0f112f3e01">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896deb7edc2afb896f8caa68ca3f6117"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2.xml><?xml version="1.0" encoding="utf-8"?>
<ds:datastoreItem xmlns:ds="http://schemas.openxmlformats.org/officeDocument/2006/customXml" ds:itemID="{B67ED18C-E6D7-468D-ABF8-E90A4C564D90}">
  <ds:schemaRefs>
    <ds:schemaRef ds:uri="http://schemas.microsoft.com/office/2006/documentManagement/types"/>
    <ds:schemaRef ds:uri="http://purl.org/dc/elements/1.1/"/>
    <ds:schemaRef ds:uri="http://www.w3.org/XML/1998/namespace"/>
    <ds:schemaRef ds:uri="f5e60779-6af5-4dde-a1c8-ebb5582c629e"/>
    <ds:schemaRef ds:uri="http://schemas.microsoft.com/office/infopath/2007/PartnerControls"/>
    <ds:schemaRef ds:uri="bfb5676e-0d71-42df-8fc5-13002709b90b"/>
    <ds:schemaRef ds:uri="http://schemas.openxmlformats.org/package/2006/metadata/core-properties"/>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42D0F38E-94EE-4969-B887-6CD28E755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7</vt:i4>
      </vt:variant>
    </vt:vector>
  </HeadingPairs>
  <TitlesOfParts>
    <vt:vector size="22" baseType="lpstr">
      <vt:lpstr>Meta 1 DED. SCPI</vt:lpstr>
      <vt:lpstr>Meta 2 DED</vt:lpstr>
      <vt:lpstr>Meta 3 DED</vt:lpstr>
      <vt:lpstr>Meta 4 DED</vt:lpstr>
      <vt:lpstr>Meta 5 SCPI</vt:lpstr>
      <vt:lpstr>Meta 6 SCPI</vt:lpstr>
      <vt:lpstr>Meta 7 DED</vt:lpstr>
      <vt:lpstr>Indicadores PA</vt:lpstr>
      <vt:lpstr>Meta 1..n</vt:lpstr>
      <vt:lpstr>Territorialización PA</vt:lpstr>
      <vt:lpstr>Instructivo</vt:lpstr>
      <vt:lpstr>Generalidades</vt:lpstr>
      <vt:lpstr>Hoja2</vt:lpstr>
      <vt:lpstr>Hoja13</vt:lpstr>
      <vt:lpstr>Hoja1</vt:lpstr>
      <vt:lpstr>'Meta 1 DED. SCPI'!Área_de_impresión</vt:lpstr>
      <vt:lpstr>'Meta 2 DED'!Área_de_impresión</vt:lpstr>
      <vt:lpstr>'Meta 4 DED'!Área_de_impresión</vt:lpstr>
      <vt:lpstr>'Meta 5 SCPI'!Área_de_impresión</vt:lpstr>
      <vt:lpstr>'Meta 6 SCPI'!Área_de_impresión</vt:lpstr>
      <vt:lpstr>'Meta 7 DED'!Área_de_impresión</vt:lpstr>
      <vt:lpstr>'Territorialización PA'!Área_de_impresión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Angela Marcela Forero Ruiz</cp:lastModifiedBy>
  <cp:revision/>
  <cp:lastPrinted>2022-11-16T16:48:43Z</cp:lastPrinted>
  <dcterms:created xsi:type="dcterms:W3CDTF">2011-04-26T22:16:52Z</dcterms:created>
  <dcterms:modified xsi:type="dcterms:W3CDTF">2023-01-20T23:32:19Z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ies>
</file>